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_LRC\2. technical assistance\British RC SAHEL program\2. MAURITANIE clubs des meres\4. plan affaires\"/>
    </mc:Choice>
  </mc:AlternateContent>
  <xr:revisionPtr revIDLastSave="0" documentId="13_ncr:1_{384102A4-B57A-4145-8DCF-62EC00EE5765}" xr6:coauthVersionLast="36" xr6:coauthVersionMax="36" xr10:uidLastSave="{00000000-0000-0000-0000-000000000000}"/>
  <bookViews>
    <workbookView xWindow="0" yWindow="465" windowWidth="28800" windowHeight="17460" xr2:uid="{00000000-000D-0000-FFFF-FFFF00000000}"/>
  </bookViews>
  <sheets>
    <sheet name="Info general" sheetId="17" r:id="rId1"/>
    <sheet name="Plan economique (PAS)" sheetId="18" r:id="rId2"/>
    <sheet name="Apport CRM" sheetId="20" r:id="rId3"/>
  </sheets>
  <definedNames>
    <definedName name="_xlnm.Print_Area" localSheetId="2">'Apport CRM'!$A$1:$F$55</definedName>
    <definedName name="_xlnm.Print_Area" localSheetId="0">'Info general'!$A$1:$H$23</definedName>
    <definedName name="_xlnm.Print_Area" localSheetId="1">'Plan economique (PAS)'!$A$1:$M$56</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M63" i="18" l="1"/>
  <c r="L63" i="18"/>
  <c r="K63" i="18"/>
  <c r="M62" i="18"/>
  <c r="L62" i="18"/>
  <c r="K62" i="18"/>
  <c r="M61" i="18"/>
  <c r="L61" i="18"/>
  <c r="H61" i="18"/>
  <c r="K61" i="18"/>
  <c r="M60" i="18"/>
  <c r="L60" i="18"/>
  <c r="L59" i="18"/>
  <c r="K59" i="18"/>
  <c r="H29" i="18"/>
  <c r="H62" i="18"/>
  <c r="M64" i="18"/>
  <c r="L64" i="18"/>
  <c r="K64" i="18"/>
  <c r="H63" i="18"/>
  <c r="H64" i="18"/>
  <c r="H48" i="18"/>
  <c r="M48" i="18"/>
  <c r="K48" i="18"/>
  <c r="L48" i="18"/>
  <c r="M46" i="18"/>
  <c r="E44" i="18"/>
  <c r="G43" i="18"/>
  <c r="G42" i="18"/>
  <c r="E42" i="18"/>
  <c r="G46" i="18"/>
  <c r="M6" i="18"/>
  <c r="G45" i="18"/>
  <c r="L45" i="18"/>
  <c r="M45" i="18"/>
  <c r="G44" i="18"/>
  <c r="L44" i="18"/>
  <c r="M44" i="18"/>
  <c r="L43" i="18"/>
  <c r="M43" i="18"/>
  <c r="L42" i="18"/>
  <c r="M42" i="18"/>
  <c r="C33" i="18"/>
  <c r="G33" i="18"/>
  <c r="H33" i="18"/>
  <c r="G34" i="18"/>
  <c r="H34" i="18"/>
  <c r="H35" i="18"/>
  <c r="C36" i="18"/>
  <c r="G36" i="18"/>
  <c r="H36" i="18"/>
  <c r="C37" i="18"/>
  <c r="G37" i="18"/>
  <c r="H37" i="18"/>
  <c r="G38" i="18"/>
  <c r="H38" i="18"/>
  <c r="H39" i="18"/>
  <c r="H52" i="18"/>
  <c r="G17" i="18"/>
  <c r="H17" i="18"/>
  <c r="G18" i="18"/>
  <c r="H18" i="18"/>
  <c r="E19" i="18"/>
  <c r="G19" i="18"/>
  <c r="H19" i="18"/>
  <c r="G11" i="18"/>
  <c r="H11" i="18"/>
  <c r="C12" i="18"/>
  <c r="G12" i="18"/>
  <c r="H12" i="18"/>
  <c r="G16" i="18"/>
  <c r="H16" i="18"/>
  <c r="H20" i="18"/>
  <c r="H21" i="18"/>
  <c r="G22" i="18"/>
  <c r="H22" i="18"/>
  <c r="G23" i="18"/>
  <c r="H23" i="18"/>
  <c r="G24" i="18"/>
  <c r="H24" i="18"/>
  <c r="G27" i="18"/>
  <c r="H51" i="18"/>
  <c r="H53" i="18"/>
  <c r="H55" i="18"/>
  <c r="L27" i="18"/>
  <c r="M27" i="18"/>
  <c r="H29" i="17"/>
  <c r="F25" i="17"/>
  <c r="H25" i="17"/>
  <c r="F26" i="17"/>
  <c r="H26" i="17"/>
  <c r="F27" i="17"/>
  <c r="H27" i="17"/>
  <c r="F29" i="17"/>
  <c r="A36" i="20"/>
  <c r="D36" i="20"/>
  <c r="E36" i="20"/>
  <c r="C36" i="20"/>
  <c r="A37" i="20"/>
  <c r="C37" i="20"/>
  <c r="D37" i="20"/>
  <c r="D34" i="18"/>
  <c r="D35" i="20"/>
  <c r="E35" i="20"/>
  <c r="C35" i="20"/>
  <c r="A35" i="20"/>
  <c r="B32" i="20"/>
  <c r="C32" i="20"/>
  <c r="D32" i="20"/>
  <c r="A32" i="20"/>
  <c r="A28" i="20"/>
  <c r="B28" i="20"/>
  <c r="C28" i="20"/>
  <c r="D28" i="20"/>
  <c r="A29" i="20"/>
  <c r="B29" i="20"/>
  <c r="C29" i="20"/>
  <c r="D29" i="20"/>
  <c r="B27" i="20"/>
  <c r="C27" i="20"/>
  <c r="D27" i="20"/>
  <c r="A27" i="20"/>
  <c r="B24" i="20"/>
  <c r="C24" i="20"/>
  <c r="D24" i="20"/>
  <c r="A24" i="20"/>
  <c r="A14" i="20"/>
  <c r="B14" i="20"/>
  <c r="D14" i="20"/>
  <c r="A15" i="20"/>
  <c r="B15" i="20"/>
  <c r="E18" i="17"/>
  <c r="D15" i="20"/>
  <c r="A16" i="20"/>
  <c r="B16" i="20"/>
  <c r="D16" i="20"/>
  <c r="A17" i="20"/>
  <c r="B17" i="20"/>
  <c r="D17" i="20"/>
  <c r="D13" i="20"/>
  <c r="B13" i="20"/>
  <c r="A13" i="20"/>
  <c r="B8" i="20"/>
  <c r="B7" i="20"/>
  <c r="F16" i="17"/>
  <c r="F17" i="17"/>
  <c r="F18" i="17"/>
  <c r="F19" i="17"/>
  <c r="F20" i="17"/>
  <c r="F22" i="17"/>
  <c r="A50" i="20"/>
  <c r="A49" i="20"/>
  <c r="A48" i="20"/>
  <c r="A47" i="20"/>
  <c r="A46" i="20"/>
  <c r="A45" i="20"/>
  <c r="E40" i="20"/>
  <c r="E39" i="20"/>
  <c r="E50" i="20"/>
  <c r="E37" i="20"/>
  <c r="E28" i="20"/>
  <c r="E29" i="20"/>
  <c r="E14" i="20"/>
  <c r="E32" i="20"/>
  <c r="E27" i="20"/>
  <c r="E16" i="20"/>
  <c r="E15" i="20"/>
  <c r="E24" i="20"/>
  <c r="E23" i="20"/>
  <c r="E46" i="20"/>
  <c r="E17" i="20"/>
  <c r="E13" i="20"/>
  <c r="E31" i="20"/>
  <c r="E49" i="20"/>
  <c r="E26" i="20"/>
  <c r="E47" i="20"/>
  <c r="E34" i="20"/>
  <c r="E48" i="20"/>
  <c r="E19" i="20"/>
  <c r="E45" i="20"/>
  <c r="E52" i="20"/>
  <c r="E42" i="20"/>
  <c r="G35" i="18"/>
  <c r="G21" i="18"/>
  <c r="G20" i="18"/>
  <c r="K33" i="18"/>
  <c r="K22" i="18"/>
  <c r="L22" i="18"/>
  <c r="M22" i="18"/>
  <c r="H18" i="17"/>
  <c r="H19" i="17"/>
  <c r="G39" i="18"/>
  <c r="K35" i="18"/>
  <c r="L35" i="18"/>
  <c r="M35" i="18"/>
  <c r="H17" i="17"/>
  <c r="H16" i="17"/>
  <c r="D33" i="18"/>
  <c r="L40" i="18"/>
  <c r="K18" i="18"/>
  <c r="L18" i="18"/>
  <c r="M18" i="18"/>
  <c r="K24" i="18"/>
  <c r="L24" i="18"/>
  <c r="M24" i="18"/>
  <c r="K38" i="18"/>
  <c r="L38" i="18"/>
  <c r="M38" i="18"/>
  <c r="K34" i="18"/>
  <c r="L34" i="18"/>
  <c r="M34" i="18"/>
  <c r="K39" i="18"/>
  <c r="L39" i="18"/>
  <c r="M39" i="18"/>
  <c r="K14" i="18"/>
  <c r="L14" i="18"/>
  <c r="M14" i="18"/>
  <c r="K17" i="18"/>
  <c r="L17" i="18"/>
  <c r="M17" i="18"/>
  <c r="K19" i="18"/>
  <c r="L19" i="18"/>
  <c r="M19" i="18"/>
  <c r="K16" i="18"/>
  <c r="L16" i="18"/>
  <c r="M16" i="18"/>
  <c r="K37" i="18"/>
  <c r="L37" i="18"/>
  <c r="M37" i="18"/>
  <c r="K13" i="18"/>
  <c r="L13" i="18"/>
  <c r="M13" i="18"/>
  <c r="K23" i="18"/>
  <c r="L23" i="18"/>
  <c r="M23" i="18"/>
  <c r="K12" i="18"/>
  <c r="L12" i="18"/>
  <c r="M12" i="18"/>
  <c r="K21" i="18"/>
  <c r="L21" i="18"/>
  <c r="M21" i="18"/>
  <c r="K20" i="18"/>
  <c r="L20" i="18"/>
  <c r="M20" i="18"/>
  <c r="H22" i="17"/>
  <c r="M54" i="18"/>
  <c r="K36" i="18"/>
  <c r="L36" i="18"/>
  <c r="M36" i="18"/>
  <c r="L33" i="18"/>
  <c r="K11" i="18"/>
  <c r="L54" i="18"/>
  <c r="K52" i="18"/>
  <c r="L11" i="18"/>
  <c r="K29" i="18"/>
  <c r="K51" i="18"/>
  <c r="L52" i="18"/>
  <c r="M33" i="18"/>
  <c r="M52" i="18"/>
  <c r="M11" i="18"/>
  <c r="M29" i="18"/>
  <c r="M51" i="18"/>
  <c r="M53" i="18"/>
  <c r="M55" i="18"/>
  <c r="L29" i="18"/>
  <c r="L51" i="18"/>
  <c r="L53" i="18"/>
  <c r="L55" i="18"/>
  <c r="K53" i="18"/>
  <c r="K55" i="18"/>
</calcChain>
</file>

<file path=xl/sharedStrings.xml><?xml version="1.0" encoding="utf-8"?>
<sst xmlns="http://schemas.openxmlformats.org/spreadsheetml/2006/main" count="350" uniqueCount="182">
  <si>
    <t>TOTAL</t>
  </si>
  <si>
    <t>Total</t>
  </si>
  <si>
    <t>Type d'investissement</t>
  </si>
  <si>
    <t>Unité</t>
  </si>
  <si>
    <t>INVESTISSEMENT INITIAL AGR</t>
  </si>
  <si>
    <t>Coûts fixes</t>
  </si>
  <si>
    <t>Coûts variables</t>
  </si>
  <si>
    <t>B</t>
  </si>
  <si>
    <t>A-Nº</t>
  </si>
  <si>
    <t>A</t>
  </si>
  <si>
    <t>B-Nº</t>
  </si>
  <si>
    <t>C-Nº</t>
  </si>
  <si>
    <t>C</t>
  </si>
  <si>
    <t>A.1</t>
  </si>
  <si>
    <t>A.2</t>
  </si>
  <si>
    <t>A.3</t>
  </si>
  <si>
    <t>A.4</t>
  </si>
  <si>
    <t>A.5</t>
  </si>
  <si>
    <t>B.1</t>
  </si>
  <si>
    <t>B.4</t>
  </si>
  <si>
    <t>C.1</t>
  </si>
  <si>
    <t>COÛTS DE L'ACTIVITÉ</t>
  </si>
  <si>
    <t>Amortissement</t>
  </si>
  <si>
    <t>Type de dépenses</t>
  </si>
  <si>
    <t>Localité :</t>
  </si>
  <si>
    <t>PLAN D'AFFAIRES SIMPLIFIE</t>
  </si>
  <si>
    <t xml:space="preserve">Contributions projet: </t>
  </si>
  <si>
    <r>
      <t xml:space="preserve">Cycle de l'AGR </t>
    </r>
    <r>
      <rPr>
        <i/>
        <sz val="12"/>
        <color theme="1"/>
        <rFont val="Calibri"/>
        <family val="2"/>
        <scheme val="minor"/>
      </rPr>
      <t>(hebdomadaire, mensuel, annuel, etc.):</t>
    </r>
  </si>
  <si>
    <t>Coût unitaire</t>
  </si>
  <si>
    <t>DEPENSES PAR CYCLE</t>
  </si>
  <si>
    <t>RECETTES PAR CYCLE</t>
  </si>
  <si>
    <t>Produit / service</t>
  </si>
  <si>
    <t>Location</t>
  </si>
  <si>
    <t>Prix unitaire</t>
  </si>
  <si>
    <t>Plan Economique</t>
  </si>
  <si>
    <t>Cycle vie (ans)</t>
  </si>
  <si>
    <r>
      <t xml:space="preserve">Nom, Prénom </t>
    </r>
    <r>
      <rPr>
        <sz val="12"/>
        <color theme="1"/>
        <rFont val="Calibri"/>
        <family val="2"/>
        <scheme val="minor"/>
      </rPr>
      <t>(bénéficiaire, personne de contact)</t>
    </r>
    <r>
      <rPr>
        <b/>
        <sz val="12"/>
        <color theme="1"/>
        <rFont val="Calibri"/>
        <family val="2"/>
        <scheme val="minor"/>
      </rPr>
      <t>:</t>
    </r>
  </si>
  <si>
    <t>Numéro téléphone :</t>
  </si>
  <si>
    <t xml:space="preserve">Contributions bénéficiaire: </t>
  </si>
  <si>
    <t>Quantité</t>
  </si>
  <si>
    <t>BÉNÉFICES PAR CYCLE</t>
  </si>
  <si>
    <t>RECETTES DE L'ACTIVITÉ</t>
  </si>
  <si>
    <t>amortis./an</t>
  </si>
  <si>
    <t>Information général et Investissement initial</t>
  </si>
  <si>
    <t>Plan Economique Simplifié</t>
  </si>
  <si>
    <t>Prévision de recettes et dépenses par 3 ans</t>
  </si>
  <si>
    <t>Année 2</t>
  </si>
  <si>
    <t>Année 1</t>
  </si>
  <si>
    <t>Année 3</t>
  </si>
  <si>
    <t>Conversion (cycle--&gt; an)</t>
  </si>
  <si>
    <t>hebdomadaire</t>
  </si>
  <si>
    <t>annuel</t>
  </si>
  <si>
    <t>semestre (6mois)</t>
  </si>
  <si>
    <t>trimestrielle (3mois)</t>
  </si>
  <si>
    <t>Type de Cycle</t>
  </si>
  <si>
    <t>mensuel</t>
  </si>
  <si>
    <t>quincénaire</t>
  </si>
  <si>
    <t>(C-B) BÉNÉFICE</t>
  </si>
  <si>
    <t>(C-B-A) BÉNÉFICE</t>
  </si>
  <si>
    <t>bimensuel (2mois)</t>
  </si>
  <si>
    <t>Poisson</t>
  </si>
  <si>
    <t>MRU</t>
  </si>
  <si>
    <t>Légumes</t>
  </si>
  <si>
    <t>RÉSUMÉ SUPPORT AGR</t>
  </si>
  <si>
    <t>B.2</t>
  </si>
  <si>
    <t>Remarques</t>
  </si>
  <si>
    <t>MRU/mois</t>
  </si>
  <si>
    <t>Entretien</t>
  </si>
  <si>
    <t>Estimation d'entretiens chaque 6 mois</t>
  </si>
  <si>
    <t>Total (cycle)</t>
  </si>
  <si>
    <t>Total (Mois)</t>
  </si>
  <si>
    <t>B.5</t>
  </si>
  <si>
    <t>B.6</t>
  </si>
  <si>
    <t>mois</t>
  </si>
  <si>
    <t>forfait</t>
  </si>
  <si>
    <t>Congelateur solaire 208 litres, avec panneaux, installation et transport</t>
  </si>
  <si>
    <t>Achat à Kiffa</t>
  </si>
  <si>
    <t>Poisson (y compris la glace)</t>
  </si>
  <si>
    <t>kg</t>
  </si>
  <si>
    <t>transport</t>
  </si>
  <si>
    <t>Ghabra</t>
  </si>
  <si>
    <t>Club de mères - Ghabra</t>
  </si>
  <si>
    <t>Avec des étagers</t>
  </si>
  <si>
    <t>Balance de bonne qualité</t>
  </si>
  <si>
    <t>Tapis, hygiène, etc.</t>
  </si>
  <si>
    <t>Thermos 48 kg</t>
  </si>
  <si>
    <t>Trois fois par mois</t>
  </si>
  <si>
    <t>Transport poisson et légumes</t>
  </si>
  <si>
    <t>C.2</t>
  </si>
  <si>
    <t>B.3</t>
  </si>
  <si>
    <t>B.7</t>
  </si>
  <si>
    <t>B.8</t>
  </si>
  <si>
    <t>B.9</t>
  </si>
  <si>
    <t>Couscous</t>
  </si>
  <si>
    <t>Emballage couscous</t>
  </si>
  <si>
    <t>C.3</t>
  </si>
  <si>
    <t>Emballage poisson</t>
  </si>
  <si>
    <t xml:space="preserve">Apport CRM </t>
  </si>
  <si>
    <r>
      <t>Type/nom de l'activité génératrice de revenus:</t>
    </r>
    <r>
      <rPr>
        <sz val="11"/>
        <color theme="1"/>
        <rFont val="Calibri"/>
        <family val="2"/>
        <scheme val="minor"/>
      </rPr>
      <t xml:space="preserve"> </t>
    </r>
  </si>
  <si>
    <t>B.10</t>
  </si>
  <si>
    <t>Riz</t>
  </si>
  <si>
    <t>Huile</t>
  </si>
  <si>
    <t>B.11</t>
  </si>
  <si>
    <t>C.4</t>
  </si>
  <si>
    <t>C.5</t>
  </si>
  <si>
    <t>C.6</t>
  </si>
  <si>
    <t>Bidon vide huile</t>
  </si>
  <si>
    <t>C.7</t>
  </si>
  <si>
    <t>Crédit téléphone</t>
  </si>
  <si>
    <t>Toute les deux semaines</t>
  </si>
  <si>
    <t>Charbon, blé, etc. Une fois par mois</t>
  </si>
  <si>
    <t>Une fois par mois</t>
  </si>
  <si>
    <t>1 mois</t>
  </si>
  <si>
    <t>Thermus de 48 Kg. transport compris</t>
  </si>
  <si>
    <t>fois</t>
  </si>
  <si>
    <t>Nouakchott; Trois fois par mois</t>
  </si>
  <si>
    <t>Denrées alimentaires liées à la vente de poisson; toute le deux semaines. Achat à Barkeol. Deux fois par mois</t>
  </si>
  <si>
    <t>Apport du CRM (AGR Clubs des Mères)</t>
  </si>
  <si>
    <t>PLAN ECONOMIQUE du PLAN d'AFFAIRES SIMPLIFIE</t>
  </si>
  <si>
    <r>
      <t xml:space="preserve">Nom, Prénom </t>
    </r>
    <r>
      <rPr>
        <sz val="11"/>
        <color theme="1"/>
        <rFont val="Calibri"/>
        <family val="2"/>
        <scheme val="minor"/>
      </rPr>
      <t>(bénéficiaire)</t>
    </r>
    <r>
      <rPr>
        <b/>
        <sz val="11"/>
        <color theme="1"/>
        <rFont val="Calibri"/>
        <family val="2"/>
        <scheme val="minor"/>
      </rPr>
      <t>:</t>
    </r>
  </si>
  <si>
    <t>Investissement AGR</t>
  </si>
  <si>
    <t>Coût ud (MRU)</t>
  </si>
  <si>
    <t>Total (MRU)</t>
  </si>
  <si>
    <t>Couverture CRM</t>
  </si>
  <si>
    <t>unités</t>
  </si>
  <si>
    <t>totale</t>
  </si>
  <si>
    <t>Total Investissement AGR couvert</t>
  </si>
  <si>
    <t>Dépenses par cycle (Fonds de roulement)</t>
  </si>
  <si>
    <t>1 cycle</t>
  </si>
  <si>
    <t>Autres</t>
  </si>
  <si>
    <t>Emballages et autres dépenses mineures</t>
  </si>
  <si>
    <t>Total dépenses (fond roulement) couvertes</t>
  </si>
  <si>
    <t>Total Contribution CRM (MRU)</t>
  </si>
  <si>
    <t>Boutique de vente de poisson, légumes et denrées alimentaires de base, avec congélateur solaire. L’activité se complémente avec la production et commercialisation de couscous (transformation de blé).</t>
  </si>
  <si>
    <t>Equipment (balance, 3 rallonges)</t>
  </si>
  <si>
    <t>Amenagement boutique (tapis, hygiène, etc.)</t>
  </si>
  <si>
    <t>Forfait demarrage (transport materiels, visites fournisseurs, etc.)</t>
  </si>
  <si>
    <t>Location boutique aménagée</t>
  </si>
  <si>
    <t>Coûts variables. Vente de poisson et légumes et poulets, cycle 3 fois par mois</t>
  </si>
  <si>
    <t>Riz (transport compris)</t>
  </si>
  <si>
    <t>Huile (transport compris)</t>
  </si>
  <si>
    <t>bidon de 20 l.</t>
  </si>
  <si>
    <t>sac 50 kg</t>
  </si>
  <si>
    <t>carte 10 MRU</t>
  </si>
  <si>
    <t>litre</t>
  </si>
  <si>
    <t>Coûts variables. Vente d'autre type de produits complementaires, cycle 2 fois par mois</t>
  </si>
  <si>
    <t>Coûts variables. Elaboration de couscous, cycle 1 fois par mois</t>
  </si>
  <si>
    <t>1 cycle, plus stock</t>
  </si>
  <si>
    <t>Année 2 et 3</t>
  </si>
  <si>
    <t>Thermo pour le transport 48 Kg.</t>
  </si>
  <si>
    <t>unité</t>
  </si>
  <si>
    <t>Amenagement boutique (estimation)</t>
  </si>
  <si>
    <t>Equipment (estimation)</t>
  </si>
  <si>
    <t>TOTAL ANNÉES 2 ET 3</t>
  </si>
  <si>
    <t>boucherie</t>
  </si>
  <si>
    <t>ameliorations pour l'augmantation de produits et boucherie</t>
  </si>
  <si>
    <t>Scenario évolution AGR (années 2 et 3)</t>
  </si>
  <si>
    <t>hangar boucherie</t>
  </si>
  <si>
    <t>MOIS</t>
  </si>
  <si>
    <r>
      <t xml:space="preserve">Plan économique pour le </t>
    </r>
    <r>
      <rPr>
        <b/>
        <sz val="11"/>
        <color theme="1"/>
        <rFont val="Calibri"/>
        <family val="2"/>
        <scheme val="minor"/>
      </rPr>
      <t>premier année selon la définition élaborée avec le groupement</t>
    </r>
    <r>
      <rPr>
        <sz val="11"/>
        <color theme="1"/>
        <rFont val="Calibri"/>
        <family val="2"/>
        <scheme val="minor"/>
      </rPr>
      <t xml:space="preserve">.
</t>
    </r>
    <r>
      <rPr>
        <b/>
        <sz val="11"/>
        <color theme="1"/>
        <rFont val="Calibri"/>
        <family val="2"/>
        <scheme val="minor"/>
      </rPr>
      <t>Scenario d'évolution du PAS</t>
    </r>
    <r>
      <rPr>
        <sz val="11"/>
        <color theme="1"/>
        <rFont val="Calibri"/>
        <family val="2"/>
        <scheme val="minor"/>
      </rPr>
      <t>: augmentation des ventes de poisson, légumes et denrées alimentaires. Inclusion de la boucherie, augmentation de la production de couscous. L'évolution est calculée sur la base de bénéfices mensuels et en utilisant les résultats des AGRs d'autres groupements.</t>
    </r>
  </si>
  <si>
    <t>Scenario évolution AGR (années 2 et 3), estimation mensuelle</t>
  </si>
  <si>
    <t>C1</t>
  </si>
  <si>
    <t>Bénéfice. Augmentation poisson et légumes</t>
  </si>
  <si>
    <t>C2</t>
  </si>
  <si>
    <t>C3</t>
  </si>
  <si>
    <t>C4</t>
  </si>
  <si>
    <t>Bénéfice . Diversification produits (boissons)</t>
  </si>
  <si>
    <t>25%</t>
  </si>
  <si>
    <t>Bénéfice. Augmentation production couscous</t>
  </si>
  <si>
    <t>Bénéfice . Diversification produits (boucherie)</t>
  </si>
  <si>
    <t>Bénéfice. Augmentation vente et diversification de denrées alimentaires</t>
  </si>
  <si>
    <t>4 fois</t>
  </si>
  <si>
    <t>5 têtes x semaine</t>
  </si>
  <si>
    <t>RESUME</t>
  </si>
  <si>
    <t>Mois</t>
  </si>
  <si>
    <t xml:space="preserve">Investissement </t>
  </si>
  <si>
    <t>Dépenses fixes</t>
  </si>
  <si>
    <t>Dépenses variables</t>
  </si>
  <si>
    <t>Recettes</t>
  </si>
  <si>
    <t>Couscous, matière première (blé, farine, charbon, etc.) pour 100 kg</t>
  </si>
  <si>
    <t>C5</t>
  </si>
  <si>
    <t xml:space="preserve">Type/nom de l'activité génératrice de revenus: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</si>
</sst>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 _€_-;\-* #,##0.0\ _€_-;_-* &quot;-&quot;??\ _€_-;_-@_-"/>
    <numFmt numFmtId="165" formatCode="_-* #,##0\ _€_-;\-* #,##0\ _€_-;_-* &quot;-&quot;??\ _€_-;_-@_-"/>
    <numFmt numFmtId="166" formatCode="0.0"/>
  </numFmts>
  <fonts count="24" x14ac:knownFonts="1">
    <font>
      <sz val="11"/>
      <color theme="1"/>
      <name val="Calibri"/>
      <family val="2"/>
      <scheme val="minor"/>
    </font>
    <font>
      <sz val="12"/>
      <color theme="1"/>
      <name val="Calibri"/>
      <family val="2"/>
      <scheme val="minor"/>
    </font>
    <font>
      <b/>
      <sz val="11"/>
      <color theme="0"/>
      <name val="Calibri"/>
      <family val="2"/>
      <scheme val="minor"/>
    </font>
    <font>
      <b/>
      <sz val="11"/>
      <color rgb="FFC00000"/>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scheme val="minor"/>
    </font>
    <font>
      <b/>
      <sz val="11"/>
      <color theme="1"/>
      <name val="Calibri"/>
      <family val="2"/>
    </font>
    <font>
      <b/>
      <sz val="14"/>
      <color theme="0"/>
      <name val="Calibri"/>
      <family val="2"/>
      <scheme val="minor"/>
    </font>
    <font>
      <b/>
      <sz val="12"/>
      <color theme="1"/>
      <name val="Calibri"/>
      <family val="2"/>
      <scheme val="minor"/>
    </font>
    <font>
      <b/>
      <sz val="12"/>
      <name val="Calibri"/>
      <family val="2"/>
      <scheme val="minor"/>
    </font>
    <font>
      <i/>
      <sz val="12"/>
      <color theme="1"/>
      <name val="Calibri"/>
      <family val="2"/>
      <scheme val="minor"/>
    </font>
    <font>
      <sz val="22"/>
      <color rgb="FFC00000"/>
      <name val="Calibri"/>
      <family val="2"/>
      <scheme val="minor"/>
    </font>
    <font>
      <b/>
      <sz val="14"/>
      <color rgb="FFC00000"/>
      <name val="Calibri"/>
      <family val="2"/>
      <scheme val="minor"/>
    </font>
    <font>
      <sz val="11"/>
      <color theme="2" tint="-0.249977111117893"/>
      <name val="Calibri"/>
      <family val="2"/>
      <scheme val="minor"/>
    </font>
    <font>
      <b/>
      <sz val="11"/>
      <color theme="2" tint="-0.249977111117893"/>
      <name val="Calibri"/>
      <family val="2"/>
      <scheme val="minor"/>
    </font>
    <font>
      <b/>
      <sz val="11"/>
      <color rgb="FFFF0000"/>
      <name val="Calibri"/>
      <family val="2"/>
      <scheme val="minor"/>
    </font>
    <font>
      <sz val="11"/>
      <name val="Calibri"/>
      <family val="2"/>
      <scheme val="minor"/>
    </font>
    <font>
      <b/>
      <sz val="12"/>
      <color theme="0"/>
      <name val="Calibri"/>
      <family val="2"/>
      <scheme val="minor"/>
    </font>
    <font>
      <sz val="11"/>
      <color rgb="FFFF0000"/>
      <name val="Calibri"/>
      <family val="2"/>
      <scheme val="minor"/>
    </font>
    <font>
      <sz val="12"/>
      <name val="Calibri"/>
      <family val="2"/>
      <scheme val="minor"/>
    </font>
    <font>
      <sz val="11"/>
      <color theme="8" tint="-0.499984740745262"/>
      <name val="Calibri"/>
      <family val="2"/>
      <scheme val="minor"/>
    </font>
    <font>
      <b/>
      <sz val="11"/>
      <color theme="8" tint="-0.499984740745262"/>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rgb="FFECEADC"/>
        <bgColor indexed="64"/>
      </patternFill>
    </fill>
    <fill>
      <patternFill patternType="solid">
        <fgColor rgb="FFC7C09D"/>
        <bgColor indexed="64"/>
      </patternFill>
    </fill>
    <fill>
      <patternFill patternType="solid">
        <fgColor rgb="FFFFF13B"/>
        <bgColor indexed="64"/>
      </patternFill>
    </fill>
    <fill>
      <patternFill patternType="solid">
        <fgColor theme="0"/>
        <bgColor indexed="64"/>
      </patternFill>
    </fill>
    <fill>
      <patternFill patternType="solid">
        <fgColor rgb="FFF6F5F0"/>
        <bgColor indexed="64"/>
      </patternFill>
    </fill>
    <fill>
      <patternFill patternType="solid">
        <fgColor theme="2" tint="-9.9978637043366805E-2"/>
        <bgColor indexed="64"/>
      </patternFill>
    </fill>
    <fill>
      <patternFill patternType="solid">
        <fgColor theme="8" tint="-0.499984740745262"/>
        <bgColor indexed="64"/>
      </patternFill>
    </fill>
    <fill>
      <patternFill patternType="solid">
        <fgColor theme="2"/>
        <bgColor indexed="64"/>
      </patternFill>
    </fill>
  </fills>
  <borders count="16">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222">
    <xf numFmtId="0" fontId="0" fillId="0" borderId="0" xfId="0"/>
    <xf numFmtId="0" fontId="4" fillId="0" borderId="0" xfId="0" applyFont="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justify"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Fill="1" applyBorder="1" applyAlignment="1">
      <alignment vertical="center"/>
    </xf>
    <xf numFmtId="0" fontId="4" fillId="0" borderId="0" xfId="0" applyFont="1" applyBorder="1" applyAlignment="1">
      <alignment horizontal="left" vertical="center"/>
    </xf>
    <xf numFmtId="0" fontId="6"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3" fillId="3" borderId="0" xfId="0" applyFont="1" applyFill="1" applyBorder="1" applyAlignment="1">
      <alignment horizontal="center" vertical="center"/>
    </xf>
    <xf numFmtId="0" fontId="4" fillId="4" borderId="0" xfId="0" applyFont="1" applyFill="1" applyBorder="1" applyAlignment="1">
      <alignment vertical="center"/>
    </xf>
    <xf numFmtId="0" fontId="0" fillId="3" borderId="0" xfId="0" applyFont="1" applyFill="1" applyBorder="1" applyAlignment="1">
      <alignment horizontal="left" vertical="center"/>
    </xf>
    <xf numFmtId="0" fontId="3" fillId="3" borderId="0" xfId="0" applyFont="1" applyFill="1" applyBorder="1" applyAlignment="1">
      <alignment vertical="center"/>
    </xf>
    <xf numFmtId="0" fontId="3" fillId="0" borderId="0" xfId="0" applyFont="1" applyBorder="1" applyAlignment="1">
      <alignment vertical="center"/>
    </xf>
    <xf numFmtId="0" fontId="0" fillId="3" borderId="0" xfId="0" applyFont="1" applyFill="1" applyBorder="1" applyAlignment="1">
      <alignment horizontal="center" vertical="center"/>
    </xf>
    <xf numFmtId="0" fontId="4" fillId="4" borderId="0" xfId="0" applyFont="1" applyFill="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165" fontId="0" fillId="3" borderId="0" xfId="1" applyNumberFormat="1" applyFont="1" applyFill="1" applyBorder="1" applyAlignment="1">
      <alignment horizontal="center" vertical="center"/>
    </xf>
    <xf numFmtId="165" fontId="4" fillId="4" borderId="0" xfId="1" applyNumberFormat="1" applyFont="1" applyFill="1" applyBorder="1" applyAlignment="1">
      <alignment horizontal="center" vertical="center"/>
    </xf>
    <xf numFmtId="165" fontId="0" fillId="0" borderId="0" xfId="1" applyNumberFormat="1" applyFont="1" applyBorder="1" applyAlignment="1">
      <alignment horizontal="center" vertical="center"/>
    </xf>
    <xf numFmtId="165" fontId="4" fillId="3" borderId="0" xfId="1" applyNumberFormat="1" applyFont="1" applyFill="1" applyBorder="1" applyAlignment="1">
      <alignment vertical="center"/>
    </xf>
    <xf numFmtId="165" fontId="9" fillId="2" borderId="0" xfId="1" applyNumberFormat="1" applyFont="1" applyFill="1" applyBorder="1" applyAlignment="1">
      <alignment horizontal="center" vertical="center"/>
    </xf>
    <xf numFmtId="165" fontId="3" fillId="0" borderId="0" xfId="1" applyNumberFormat="1" applyFont="1" applyBorder="1" applyAlignment="1">
      <alignment horizontal="center" vertical="center"/>
    </xf>
    <xf numFmtId="165" fontId="0" fillId="0" borderId="0" xfId="1" applyNumberFormat="1" applyFont="1" applyBorder="1" applyAlignment="1">
      <alignment vertical="center"/>
    </xf>
    <xf numFmtId="0" fontId="15" fillId="0" borderId="0" xfId="0" applyFont="1" applyBorder="1" applyAlignment="1">
      <alignment vertical="center"/>
    </xf>
    <xf numFmtId="0" fontId="16" fillId="0" borderId="0" xfId="0" applyFont="1" applyFill="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15" fillId="0" borderId="0" xfId="0" applyFont="1" applyFill="1" applyBorder="1" applyAlignment="1">
      <alignment vertical="center"/>
    </xf>
    <xf numFmtId="0" fontId="4" fillId="5" borderId="0" xfId="0" applyFont="1" applyFill="1" applyBorder="1" applyAlignment="1">
      <alignment horizontal="center" vertical="center"/>
    </xf>
    <xf numFmtId="165" fontId="0" fillId="5" borderId="0" xfId="1" applyNumberFormat="1" applyFont="1" applyFill="1" applyBorder="1" applyAlignment="1">
      <alignment horizontal="center" vertical="center"/>
    </xf>
    <xf numFmtId="165" fontId="0" fillId="0" borderId="0" xfId="0" applyNumberFormat="1" applyFont="1" applyBorder="1" applyAlignment="1">
      <alignment vertical="center"/>
    </xf>
    <xf numFmtId="0" fontId="0" fillId="0" borderId="0" xfId="0" applyFont="1" applyBorder="1" applyAlignment="1">
      <alignment horizontal="center" vertical="center"/>
    </xf>
    <xf numFmtId="0" fontId="0" fillId="0" borderId="0" xfId="0" applyFill="1" applyAlignment="1">
      <alignment horizontal="left" vertical="top" wrapText="1"/>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165" fontId="0" fillId="0" borderId="0" xfId="0" applyNumberFormat="1" applyFont="1" applyFill="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18" fillId="0" borderId="0" xfId="0" applyFont="1" applyFill="1" applyAlignment="1">
      <alignment horizontal="center" vertical="top" wrapText="1"/>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left" vertical="center"/>
    </xf>
    <xf numFmtId="0" fontId="9" fillId="0" borderId="0" xfId="0" applyFont="1" applyFill="1" applyBorder="1" applyAlignment="1">
      <alignment horizontal="left" vertical="center"/>
    </xf>
    <xf numFmtId="0" fontId="2" fillId="0" borderId="0" xfId="0" applyFont="1" applyFill="1" applyBorder="1" applyAlignment="1">
      <alignment horizontal="left" vertical="center"/>
    </xf>
    <xf numFmtId="0" fontId="9" fillId="2" borderId="0" xfId="0" applyFont="1" applyFill="1" applyBorder="1" applyAlignment="1">
      <alignment horizontal="left" vertical="center"/>
    </xf>
    <xf numFmtId="0" fontId="3" fillId="3" borderId="0" xfId="0" applyFont="1" applyFill="1" applyBorder="1" applyAlignment="1">
      <alignment horizontal="left" vertical="center"/>
    </xf>
    <xf numFmtId="165" fontId="0" fillId="3" borderId="0" xfId="1" applyNumberFormat="1" applyFont="1" applyFill="1" applyBorder="1" applyAlignment="1">
      <alignment horizontal="left" vertical="center"/>
    </xf>
    <xf numFmtId="165" fontId="4" fillId="4" borderId="0" xfId="1" applyNumberFormat="1" applyFont="1" applyFill="1" applyBorder="1" applyAlignment="1">
      <alignment horizontal="left" vertical="center"/>
    </xf>
    <xf numFmtId="0" fontId="4" fillId="3" borderId="0" xfId="0" applyFont="1" applyFill="1" applyBorder="1" applyAlignment="1">
      <alignment horizontal="center" vertical="center"/>
    </xf>
    <xf numFmtId="165" fontId="0" fillId="0" borderId="0" xfId="1" applyNumberFormat="1" applyFont="1" applyBorder="1" applyAlignment="1">
      <alignment horizontal="left" vertical="center"/>
    </xf>
    <xf numFmtId="165" fontId="19" fillId="2" borderId="0" xfId="1" applyNumberFormat="1" applyFont="1" applyFill="1" applyBorder="1" applyAlignment="1">
      <alignment horizontal="left" vertical="center"/>
    </xf>
    <xf numFmtId="165" fontId="3" fillId="0" borderId="0" xfId="1" applyNumberFormat="1" applyFont="1" applyBorder="1" applyAlignment="1">
      <alignment horizontal="left" vertical="center"/>
    </xf>
    <xf numFmtId="165" fontId="9" fillId="2" borderId="0" xfId="1" applyNumberFormat="1" applyFont="1" applyFill="1" applyBorder="1" applyAlignment="1">
      <alignment horizontal="left" vertical="center"/>
    </xf>
    <xf numFmtId="165" fontId="0" fillId="5" borderId="0" xfId="1" applyNumberFormat="1" applyFont="1" applyFill="1" applyBorder="1" applyAlignment="1">
      <alignment horizontal="left" vertical="center"/>
    </xf>
    <xf numFmtId="0" fontId="0" fillId="0" borderId="0" xfId="0" applyFont="1" applyBorder="1" applyAlignment="1">
      <alignment horizontal="center" vertical="center"/>
    </xf>
    <xf numFmtId="0" fontId="0" fillId="0" borderId="0" xfId="0" applyFont="1" applyBorder="1" applyAlignment="1">
      <alignment horizontal="left" vertical="top" wrapText="1"/>
    </xf>
    <xf numFmtId="165" fontId="0" fillId="0" borderId="0" xfId="1" applyNumberFormat="1" applyFont="1" applyFill="1" applyBorder="1" applyAlignment="1">
      <alignment horizontal="center" vertical="center"/>
    </xf>
    <xf numFmtId="1" fontId="0" fillId="0" borderId="0" xfId="0" applyNumberFormat="1"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center" vertical="center"/>
    </xf>
    <xf numFmtId="165" fontId="20" fillId="0" borderId="0" xfId="1" applyNumberFormat="1" applyFont="1" applyBorder="1" applyAlignment="1">
      <alignment horizontal="center" vertical="center"/>
    </xf>
    <xf numFmtId="165" fontId="17" fillId="3" borderId="7" xfId="1" applyNumberFormat="1" applyFont="1" applyFill="1" applyBorder="1" applyAlignment="1">
      <alignment horizontal="center" vertical="center"/>
    </xf>
    <xf numFmtId="0" fontId="11" fillId="0" borderId="0" xfId="0" applyFont="1" applyFill="1" applyBorder="1" applyAlignment="1">
      <alignment horizontal="left" vertical="center"/>
    </xf>
    <xf numFmtId="0" fontId="18" fillId="0" borderId="0" xfId="0" applyFont="1" applyFill="1" applyBorder="1" applyAlignment="1">
      <alignment vertical="top" wrapText="1"/>
    </xf>
    <xf numFmtId="0" fontId="18" fillId="0" borderId="0" xfId="0" applyFont="1" applyBorder="1" applyAlignment="1">
      <alignment vertical="top" wrapText="1"/>
    </xf>
    <xf numFmtId="165" fontId="18" fillId="0" borderId="0" xfId="1" applyNumberFormat="1" applyFont="1" applyFill="1" applyBorder="1" applyAlignment="1">
      <alignment horizontal="center" vertical="top" wrapText="1"/>
    </xf>
    <xf numFmtId="0" fontId="18" fillId="0" borderId="0" xfId="0" applyFont="1" applyBorder="1" applyAlignment="1">
      <alignment horizontal="center" vertical="center"/>
    </xf>
    <xf numFmtId="165" fontId="18" fillId="0" borderId="0" xfId="1" applyNumberFormat="1" applyFont="1" applyBorder="1" applyAlignment="1">
      <alignment horizontal="center" vertical="center"/>
    </xf>
    <xf numFmtId="165" fontId="18" fillId="0" borderId="0" xfId="1" applyNumberFormat="1" applyFont="1" applyFill="1" applyBorder="1" applyAlignment="1">
      <alignment horizontal="center" vertical="center"/>
    </xf>
    <xf numFmtId="0" fontId="18" fillId="0" borderId="0" xfId="0" applyFont="1" applyBorder="1" applyAlignment="1">
      <alignment vertical="center"/>
    </xf>
    <xf numFmtId="0" fontId="0" fillId="0" borderId="0" xfId="0" applyFill="1" applyAlignment="1">
      <alignment horizontal="center" vertical="top" wrapText="1"/>
    </xf>
    <xf numFmtId="165" fontId="7" fillId="0" borderId="0" xfId="1" applyNumberFormat="1" applyFont="1" applyFill="1" applyBorder="1" applyAlignment="1">
      <alignment horizontal="center" vertical="center"/>
    </xf>
    <xf numFmtId="164" fontId="0" fillId="0" borderId="0" xfId="1" applyNumberFormat="1" applyFont="1" applyBorder="1" applyAlignment="1">
      <alignment horizontal="center" vertical="center"/>
    </xf>
    <xf numFmtId="0" fontId="9" fillId="2" borderId="0" xfId="0" applyFont="1" applyFill="1" applyBorder="1" applyAlignment="1">
      <alignment horizontal="center" vertical="center"/>
    </xf>
    <xf numFmtId="0" fontId="0" fillId="0" borderId="0" xfId="0" applyFont="1" applyBorder="1" applyAlignment="1">
      <alignment horizontal="center" vertical="center"/>
    </xf>
    <xf numFmtId="0" fontId="5" fillId="0" borderId="0" xfId="0" applyFont="1" applyBorder="1" applyAlignment="1">
      <alignment vertical="center" wrapText="1"/>
    </xf>
    <xf numFmtId="0" fontId="9" fillId="2" borderId="0" xfId="0" applyFont="1" applyFill="1" applyBorder="1" applyAlignment="1">
      <alignment vertical="center"/>
    </xf>
    <xf numFmtId="0" fontId="9" fillId="0" borderId="0" xfId="0" applyFont="1" applyFill="1" applyBorder="1" applyAlignment="1">
      <alignment horizontal="center" vertical="center" wrapText="1"/>
    </xf>
    <xf numFmtId="0" fontId="4" fillId="0" borderId="4" xfId="0" applyFont="1" applyBorder="1" applyAlignment="1">
      <alignment vertical="center"/>
    </xf>
    <xf numFmtId="0" fontId="6" fillId="0" borderId="4" xfId="0" applyFont="1" applyFill="1" applyBorder="1" applyAlignment="1">
      <alignment vertical="center"/>
    </xf>
    <xf numFmtId="165" fontId="6" fillId="0" borderId="0" xfId="0" applyNumberFormat="1" applyFont="1" applyFill="1" applyBorder="1" applyAlignment="1">
      <alignment vertical="center"/>
    </xf>
    <xf numFmtId="0" fontId="11" fillId="0" borderId="0" xfId="0" applyFont="1" applyFill="1" applyBorder="1" applyAlignment="1">
      <alignment horizontal="left" vertical="center" wrapText="1"/>
    </xf>
    <xf numFmtId="0" fontId="19" fillId="2" borderId="0" xfId="0" applyFont="1" applyFill="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Font="1" applyBorder="1" applyAlignment="1">
      <alignment vertical="center" wrapText="1"/>
    </xf>
    <xf numFmtId="165" fontId="0" fillId="0" borderId="0" xfId="1" applyNumberFormat="1" applyFont="1" applyFill="1" applyBorder="1" applyAlignment="1">
      <alignment horizontal="left" vertical="center"/>
    </xf>
    <xf numFmtId="0" fontId="0" fillId="0" borderId="0" xfId="0" applyFont="1" applyFill="1" applyBorder="1" applyAlignment="1">
      <alignment vertical="center" wrapText="1"/>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165" fontId="11" fillId="3" borderId="0" xfId="0" applyNumberFormat="1" applyFont="1" applyFill="1" applyBorder="1" applyAlignment="1">
      <alignment horizontal="center" vertical="center"/>
    </xf>
    <xf numFmtId="165" fontId="11" fillId="3" borderId="0" xfId="1" applyNumberFormat="1" applyFont="1" applyFill="1" applyBorder="1" applyAlignment="1">
      <alignment horizontal="left" vertical="center"/>
    </xf>
    <xf numFmtId="0" fontId="21" fillId="0" borderId="0" xfId="0" applyFont="1" applyBorder="1" applyAlignment="1">
      <alignment vertical="center"/>
    </xf>
    <xf numFmtId="165" fontId="18" fillId="0" borderId="0" xfId="1" applyNumberFormat="1" applyFont="1" applyFill="1" applyBorder="1" applyAlignment="1">
      <alignment horizontal="left" vertical="top" wrapText="1"/>
    </xf>
    <xf numFmtId="0" fontId="3" fillId="3" borderId="0" xfId="0" applyFont="1" applyFill="1" applyBorder="1" applyAlignment="1">
      <alignment vertical="center" wrapText="1"/>
    </xf>
    <xf numFmtId="165" fontId="4" fillId="3" borderId="0" xfId="0" applyNumberFormat="1" applyFont="1" applyFill="1" applyBorder="1" applyAlignment="1">
      <alignment horizontal="center" vertical="center"/>
    </xf>
    <xf numFmtId="0" fontId="4" fillId="3" borderId="0" xfId="0" applyFont="1" applyFill="1" applyBorder="1" applyAlignment="1">
      <alignment horizontal="left" vertical="center"/>
    </xf>
    <xf numFmtId="165" fontId="4" fillId="3" borderId="0" xfId="0" applyNumberFormat="1" applyFont="1" applyFill="1" applyBorder="1" applyAlignment="1">
      <alignment horizontal="left" vertical="center"/>
    </xf>
    <xf numFmtId="0" fontId="2" fillId="0" borderId="0" xfId="0" applyFont="1" applyFill="1" applyBorder="1" applyAlignment="1">
      <alignment vertical="center" wrapText="1"/>
    </xf>
    <xf numFmtId="165" fontId="0" fillId="6" borderId="0" xfId="1" applyNumberFormat="1" applyFont="1" applyFill="1" applyBorder="1" applyAlignment="1">
      <alignment horizontal="left" vertical="center"/>
    </xf>
    <xf numFmtId="0" fontId="0" fillId="6" borderId="0" xfId="0" applyFont="1" applyFill="1" applyBorder="1" applyAlignment="1">
      <alignment vertical="center"/>
    </xf>
    <xf numFmtId="165" fontId="0" fillId="6" borderId="0" xfId="1" applyNumberFormat="1" applyFont="1" applyFill="1" applyBorder="1" applyAlignment="1">
      <alignment horizontal="center" vertical="center"/>
    </xf>
    <xf numFmtId="165" fontId="0" fillId="6" borderId="0" xfId="0" applyNumberFormat="1" applyFont="1" applyFill="1" applyBorder="1" applyAlignment="1">
      <alignment vertical="center" wrapText="1"/>
    </xf>
    <xf numFmtId="165" fontId="0" fillId="0" borderId="0" xfId="0" applyNumberFormat="1" applyFont="1" applyBorder="1" applyAlignment="1">
      <alignment horizontal="left" vertical="center"/>
    </xf>
    <xf numFmtId="166" fontId="18" fillId="0" borderId="0" xfId="0" applyNumberFormat="1" applyFont="1" applyBorder="1" applyAlignment="1">
      <alignment horizontal="center" vertical="center"/>
    </xf>
    <xf numFmtId="165" fontId="18" fillId="0" borderId="0" xfId="1" applyNumberFormat="1" applyFont="1" applyBorder="1" applyAlignment="1">
      <alignment horizontal="left" vertical="center"/>
    </xf>
    <xf numFmtId="165" fontId="18" fillId="0" borderId="0" xfId="0" applyNumberFormat="1" applyFont="1" applyBorder="1" applyAlignment="1">
      <alignment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4" fillId="4" borderId="0" xfId="0" applyFont="1" applyFill="1" applyBorder="1" applyAlignment="1">
      <alignment horizontal="left" vertical="center"/>
    </xf>
    <xf numFmtId="0" fontId="9" fillId="2" borderId="0" xfId="0"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3" borderId="3" xfId="0" applyFont="1" applyFill="1" applyBorder="1" applyAlignment="1">
      <alignment horizontal="left" vertical="center" wrapText="1"/>
    </xf>
    <xf numFmtId="0" fontId="0" fillId="3" borderId="3" xfId="0" applyFont="1" applyFill="1" applyBorder="1" applyAlignment="1">
      <alignment horizontal="left" vertical="center"/>
    </xf>
    <xf numFmtId="0" fontId="0" fillId="3" borderId="1" xfId="0" applyFont="1" applyFill="1" applyBorder="1" applyAlignment="1">
      <alignment horizontal="lef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165" fontId="4" fillId="3" borderId="3" xfId="1" applyNumberFormat="1" applyFont="1" applyFill="1" applyBorder="1" applyAlignment="1">
      <alignment horizontal="center" vertical="center"/>
    </xf>
    <xf numFmtId="165" fontId="4" fillId="3" borderId="1" xfId="1" applyNumberFormat="1"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5" borderId="0" xfId="0" applyFont="1" applyFill="1" applyBorder="1" applyAlignment="1">
      <alignment horizontal="center" vertical="center"/>
    </xf>
    <xf numFmtId="0" fontId="0"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6" xfId="0" applyFont="1" applyFill="1" applyBorder="1" applyAlignment="1">
      <alignment horizontal="left"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164" fontId="17" fillId="3" borderId="1" xfId="1" applyNumberFormat="1" applyFont="1" applyFill="1" applyBorder="1" applyAlignment="1">
      <alignment horizontal="center" vertical="center"/>
    </xf>
    <xf numFmtId="164" fontId="17" fillId="3" borderId="3" xfId="1" applyNumberFormat="1" applyFont="1" applyFill="1" applyBorder="1" applyAlignment="1">
      <alignment horizontal="center" vertical="center"/>
    </xf>
    <xf numFmtId="0" fontId="22" fillId="3" borderId="0" xfId="0" applyFont="1" applyFill="1" applyBorder="1" applyAlignment="1">
      <alignment horizontal="left" vertical="center"/>
    </xf>
    <xf numFmtId="0" fontId="23" fillId="3" borderId="0" xfId="0" applyFont="1" applyFill="1" applyBorder="1" applyAlignment="1">
      <alignment vertical="center"/>
    </xf>
    <xf numFmtId="0" fontId="23" fillId="3" borderId="0" xfId="0" applyFont="1" applyFill="1" applyBorder="1" applyAlignment="1">
      <alignment horizontal="center" vertical="center"/>
    </xf>
    <xf numFmtId="0" fontId="22" fillId="3" borderId="0" xfId="0" applyFont="1" applyFill="1" applyBorder="1" applyAlignment="1">
      <alignment horizontal="center" vertical="center"/>
    </xf>
    <xf numFmtId="0" fontId="23" fillId="3" borderId="0" xfId="0" applyFont="1" applyFill="1" applyBorder="1" applyAlignment="1">
      <alignment horizontal="left" vertical="center"/>
    </xf>
    <xf numFmtId="0" fontId="23" fillId="0" borderId="0" xfId="0" applyFont="1" applyFill="1" applyBorder="1" applyAlignment="1">
      <alignment vertical="center"/>
    </xf>
    <xf numFmtId="0" fontId="22" fillId="0" borderId="0" xfId="0" applyFont="1" applyBorder="1" applyAlignment="1">
      <alignment vertical="center"/>
    </xf>
    <xf numFmtId="0" fontId="0" fillId="0" borderId="0" xfId="0" applyFont="1" applyBorder="1" applyAlignment="1">
      <alignment horizontal="center" vertical="center" wrapText="1"/>
    </xf>
    <xf numFmtId="165" fontId="0" fillId="0" borderId="0" xfId="1" applyNumberFormat="1" applyFont="1" applyBorder="1" applyAlignment="1">
      <alignment horizontal="center" vertical="center" wrapText="1"/>
    </xf>
    <xf numFmtId="0" fontId="0" fillId="3" borderId="0" xfId="0" applyFont="1" applyFill="1" applyBorder="1" applyAlignment="1">
      <alignment horizontal="center" vertical="center" wrapText="1"/>
    </xf>
    <xf numFmtId="165" fontId="0" fillId="3" borderId="0" xfId="1" applyNumberFormat="1" applyFont="1" applyFill="1" applyBorder="1" applyAlignment="1">
      <alignment horizontal="center" vertical="center" wrapText="1"/>
    </xf>
    <xf numFmtId="165" fontId="0" fillId="3" borderId="0" xfId="1" applyNumberFormat="1" applyFont="1" applyFill="1" applyBorder="1" applyAlignment="1">
      <alignment horizontal="left" vertical="center" wrapText="1"/>
    </xf>
    <xf numFmtId="0" fontId="0" fillId="0" borderId="0" xfId="0" applyFont="1" applyFill="1" applyBorder="1" applyAlignment="1">
      <alignment horizontal="center" vertical="center" wrapText="1"/>
    </xf>
    <xf numFmtId="0" fontId="15" fillId="0" borderId="0" xfId="0" applyFont="1" applyBorder="1" applyAlignment="1">
      <alignment vertical="center" wrapText="1"/>
    </xf>
    <xf numFmtId="165" fontId="0" fillId="0" borderId="8" xfId="1" applyNumberFormat="1" applyFont="1" applyBorder="1" applyAlignment="1">
      <alignment horizontal="center" vertical="center"/>
    </xf>
    <xf numFmtId="165" fontId="0" fillId="0" borderId="9" xfId="1" applyNumberFormat="1" applyFont="1" applyBorder="1" applyAlignment="1">
      <alignment horizontal="center" vertical="center"/>
    </xf>
    <xf numFmtId="0" fontId="0" fillId="3" borderId="8" xfId="0" applyFont="1" applyFill="1" applyBorder="1" applyAlignment="1">
      <alignment horizontal="center" vertical="center"/>
    </xf>
    <xf numFmtId="0" fontId="0" fillId="3" borderId="9" xfId="0" applyFont="1" applyFill="1" applyBorder="1" applyAlignment="1">
      <alignment horizontal="center" vertical="center"/>
    </xf>
    <xf numFmtId="0" fontId="22" fillId="7" borderId="0" xfId="0" applyFont="1" applyFill="1" applyBorder="1" applyAlignment="1">
      <alignment horizontal="center" vertical="center"/>
    </xf>
    <xf numFmtId="0" fontId="22" fillId="7" borderId="0" xfId="0" applyFont="1" applyFill="1" applyBorder="1" applyAlignment="1">
      <alignment vertical="center"/>
    </xf>
    <xf numFmtId="165" fontId="22" fillId="7" borderId="0" xfId="1" applyNumberFormat="1" applyFont="1" applyFill="1" applyBorder="1" applyAlignment="1">
      <alignment horizontal="center" vertical="center"/>
    </xf>
    <xf numFmtId="165" fontId="22" fillId="7" borderId="8" xfId="1" applyNumberFormat="1" applyFont="1" applyFill="1" applyBorder="1" applyAlignment="1">
      <alignment horizontal="center" vertical="center"/>
    </xf>
    <xf numFmtId="165" fontId="22" fillId="7" borderId="9" xfId="1" applyNumberFormat="1" applyFont="1" applyFill="1" applyBorder="1" applyAlignment="1">
      <alignment horizontal="center" vertical="center"/>
    </xf>
    <xf numFmtId="165" fontId="22" fillId="0" borderId="0" xfId="0" applyNumberFormat="1"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165" fontId="18" fillId="0" borderId="8" xfId="1" applyNumberFormat="1" applyFont="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165" fontId="4" fillId="4" borderId="8" xfId="1" applyNumberFormat="1" applyFont="1" applyFill="1" applyBorder="1" applyAlignment="1">
      <alignment horizontal="center" vertical="center"/>
    </xf>
    <xf numFmtId="165" fontId="4" fillId="4" borderId="9" xfId="1" applyNumberFormat="1" applyFont="1" applyFill="1" applyBorder="1" applyAlignment="1">
      <alignment horizontal="center"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165" fontId="0" fillId="5" borderId="8" xfId="1" applyNumberFormat="1" applyFont="1" applyFill="1" applyBorder="1" applyAlignment="1">
      <alignment horizontal="center" vertical="center"/>
    </xf>
    <xf numFmtId="165" fontId="0" fillId="5" borderId="9" xfId="1" applyNumberFormat="1" applyFont="1" applyFill="1" applyBorder="1" applyAlignment="1">
      <alignment horizontal="center" vertical="center"/>
    </xf>
    <xf numFmtId="165" fontId="4" fillId="4" borderId="12" xfId="1" applyNumberFormat="1" applyFont="1" applyFill="1" applyBorder="1" applyAlignment="1">
      <alignment horizontal="center" vertical="center"/>
    </xf>
    <xf numFmtId="165" fontId="4" fillId="4" borderId="13" xfId="1" applyNumberFormat="1"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0" fillId="8" borderId="0" xfId="0" applyFont="1" applyFill="1" applyBorder="1" applyAlignment="1">
      <alignment horizontal="left" vertical="center" wrapText="1"/>
    </xf>
    <xf numFmtId="0" fontId="22" fillId="7" borderId="0" xfId="0" applyFont="1" applyFill="1" applyBorder="1" applyAlignment="1">
      <alignment vertical="center" wrapText="1"/>
    </xf>
    <xf numFmtId="0" fontId="22" fillId="0" borderId="0" xfId="0" applyFont="1" applyBorder="1" applyAlignment="1">
      <alignment horizontal="center" vertical="center"/>
    </xf>
    <xf numFmtId="165" fontId="22" fillId="7" borderId="0" xfId="1" applyNumberFormat="1" applyFont="1" applyFill="1" applyBorder="1" applyAlignment="1">
      <alignment horizontal="left" vertical="center"/>
    </xf>
    <xf numFmtId="0" fontId="22" fillId="0" borderId="0" xfId="0" applyFont="1" applyFill="1" applyBorder="1" applyAlignment="1">
      <alignment vertical="center"/>
    </xf>
    <xf numFmtId="165" fontId="22" fillId="0" borderId="0" xfId="0" applyNumberFormat="1" applyFont="1" applyFill="1" applyBorder="1" applyAlignment="1">
      <alignment vertical="center"/>
    </xf>
    <xf numFmtId="165" fontId="22" fillId="7" borderId="0" xfId="1" quotePrefix="1" applyNumberFormat="1" applyFont="1" applyFill="1" applyBorder="1" applyAlignment="1">
      <alignment horizontal="left" vertical="center"/>
    </xf>
    <xf numFmtId="0" fontId="19" fillId="9" borderId="10" xfId="0" applyFont="1" applyFill="1" applyBorder="1" applyAlignment="1">
      <alignment horizontal="center" vertical="center"/>
    </xf>
    <xf numFmtId="0" fontId="19" fillId="9" borderId="14" xfId="0" applyFont="1" applyFill="1" applyBorder="1" applyAlignment="1">
      <alignment horizontal="center" vertical="center"/>
    </xf>
    <xf numFmtId="0" fontId="19" fillId="9" borderId="11" xfId="0" applyFont="1" applyFill="1" applyBorder="1" applyAlignment="1">
      <alignment horizontal="center" vertical="center"/>
    </xf>
    <xf numFmtId="0" fontId="1" fillId="6" borderId="0" xfId="0" applyFont="1" applyFill="1" applyBorder="1" applyAlignment="1">
      <alignment horizontal="center" vertical="center"/>
    </xf>
    <xf numFmtId="165" fontId="19" fillId="9" borderId="10" xfId="1" applyNumberFormat="1" applyFont="1" applyFill="1" applyBorder="1" applyAlignment="1">
      <alignment horizontal="center" vertical="center"/>
    </xf>
    <xf numFmtId="165" fontId="19" fillId="9" borderId="14" xfId="1" applyNumberFormat="1" applyFont="1" applyFill="1" applyBorder="1" applyAlignment="1">
      <alignment horizontal="center" vertical="center"/>
    </xf>
    <xf numFmtId="165" fontId="19" fillId="9" borderId="11" xfId="1" applyNumberFormat="1" applyFont="1" applyFill="1" applyBorder="1" applyAlignment="1">
      <alignment horizontal="center" vertical="center"/>
    </xf>
    <xf numFmtId="0" fontId="1" fillId="0" borderId="0" xfId="0" applyFont="1" applyBorder="1" applyAlignment="1">
      <alignment vertical="center"/>
    </xf>
    <xf numFmtId="0" fontId="4" fillId="10" borderId="8" xfId="0" applyFont="1" applyFill="1" applyBorder="1" applyAlignment="1">
      <alignment horizontal="center" vertical="center"/>
    </xf>
    <xf numFmtId="0" fontId="0" fillId="10" borderId="0" xfId="0" applyFont="1" applyFill="1" applyBorder="1" applyAlignment="1">
      <alignment horizontal="left" vertical="center"/>
    </xf>
    <xf numFmtId="165" fontId="0" fillId="10" borderId="0" xfId="1" applyNumberFormat="1" applyFont="1" applyFill="1" applyBorder="1" applyAlignment="1">
      <alignment horizontal="center" vertical="center"/>
    </xf>
    <xf numFmtId="165" fontId="0" fillId="10" borderId="8" xfId="1" applyNumberFormat="1" applyFont="1" applyFill="1" applyBorder="1" applyAlignment="1">
      <alignment horizontal="center" vertical="center"/>
    </xf>
    <xf numFmtId="165" fontId="0" fillId="10" borderId="9" xfId="1" applyNumberFormat="1" applyFont="1" applyFill="1" applyBorder="1" applyAlignment="1">
      <alignment horizontal="center" vertical="center"/>
    </xf>
    <xf numFmtId="0" fontId="0" fillId="6" borderId="0"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15" xfId="0" applyFont="1" applyFill="1" applyBorder="1" applyAlignment="1">
      <alignment horizontal="left" vertical="center"/>
    </xf>
    <xf numFmtId="165" fontId="19" fillId="9" borderId="15" xfId="1" applyNumberFormat="1" applyFont="1" applyFill="1" applyBorder="1" applyAlignment="1">
      <alignment horizontal="center" vertical="center"/>
    </xf>
    <xf numFmtId="165" fontId="19" fillId="9" borderId="12" xfId="1" applyNumberFormat="1" applyFont="1" applyFill="1" applyBorder="1" applyAlignment="1">
      <alignment horizontal="center" vertical="center"/>
    </xf>
    <xf numFmtId="165" fontId="19" fillId="9" borderId="13" xfId="1" applyNumberFormat="1" applyFont="1" applyFill="1" applyBorder="1" applyAlignment="1">
      <alignment horizontal="center" vertical="center"/>
    </xf>
    <xf numFmtId="0" fontId="10" fillId="6" borderId="0" xfId="0" applyFont="1" applyFill="1" applyBorder="1" applyAlignment="1">
      <alignment horizontal="center" vertical="center"/>
    </xf>
    <xf numFmtId="0" fontId="10" fillId="0" borderId="0" xfId="0" applyFont="1" applyBorder="1" applyAlignment="1">
      <alignment vertical="center"/>
    </xf>
    <xf numFmtId="165" fontId="10" fillId="0" borderId="0" xfId="0" applyNumberFormat="1" applyFont="1" applyBorder="1" applyAlignment="1">
      <alignment vertical="center"/>
    </xf>
  </cellXfs>
  <cellStyles count="2">
    <cellStyle name="Millares" xfId="1" builtinId="3"/>
    <cellStyle name="Normal" xfId="0" builtinId="0"/>
  </cellStyles>
  <dxfs count="0"/>
  <tableStyles count="0" defaultTableStyle="TableStyleMedium2" defaultPivotStyle="PivotStyleLight16"/>
  <colors>
    <mruColors>
      <color rgb="FFFFF13B"/>
      <color rgb="FFECEADC"/>
      <color rgb="FFC7C0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694765</xdr:colOff>
      <xdr:row>0</xdr:row>
      <xdr:rowOff>51867</xdr:rowOff>
    </xdr:from>
    <xdr:to>
      <xdr:col>7</xdr:col>
      <xdr:colOff>974751</xdr:colOff>
      <xdr:row>2</xdr:row>
      <xdr:rowOff>190500</xdr:rowOff>
    </xdr:to>
    <xdr:pic>
      <xdr:nvPicPr>
        <xdr:cNvPr id="2" name="Imagen 1">
          <a:extLst>
            <a:ext uri="{FF2B5EF4-FFF2-40B4-BE49-F238E27FC236}">
              <a16:creationId xmlns:a16="http://schemas.microsoft.com/office/drawing/2014/main" id="{9436C12B-7AD7-4D52-A83F-B7A9FD4136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1490" y="51867"/>
          <a:ext cx="3223211" cy="6910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941295</xdr:colOff>
      <xdr:row>0</xdr:row>
      <xdr:rowOff>18249</xdr:rowOff>
    </xdr:from>
    <xdr:to>
      <xdr:col>11</xdr:col>
      <xdr:colOff>11046</xdr:colOff>
      <xdr:row>2</xdr:row>
      <xdr:rowOff>156882</xdr:rowOff>
    </xdr:to>
    <xdr:pic>
      <xdr:nvPicPr>
        <xdr:cNvPr id="2" name="Imagen 1">
          <a:extLst>
            <a:ext uri="{FF2B5EF4-FFF2-40B4-BE49-F238E27FC236}">
              <a16:creationId xmlns:a16="http://schemas.microsoft.com/office/drawing/2014/main" id="{76827791-CC04-4CD9-8BD9-027B32ECC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80295" y="18249"/>
          <a:ext cx="3238339" cy="68772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313765</xdr:colOff>
      <xdr:row>0</xdr:row>
      <xdr:rowOff>156883</xdr:rowOff>
    </xdr:from>
    <xdr:to>
      <xdr:col>6</xdr:col>
      <xdr:colOff>10087</xdr:colOff>
      <xdr:row>3</xdr:row>
      <xdr:rowOff>67235</xdr:rowOff>
    </xdr:to>
    <xdr:pic>
      <xdr:nvPicPr>
        <xdr:cNvPr id="2" name="Imagen 1">
          <a:extLst>
            <a:ext uri="{FF2B5EF4-FFF2-40B4-BE49-F238E27FC236}">
              <a16:creationId xmlns:a16="http://schemas.microsoft.com/office/drawing/2014/main" id="{71D4BE52-F86F-4DF8-B335-2BBE3C2059F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7853" y="156883"/>
          <a:ext cx="2845175" cy="694764"/>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7"/>
  <sheetViews>
    <sheetView tabSelected="1" zoomScale="85" zoomScaleNormal="85" zoomScalePageLayoutView="85" workbookViewId="0">
      <pane ySplit="3" topLeftCell="A4" activePane="bottomLeft" state="frozen"/>
      <selection pane="bottomLeft" activeCell="A7" sqref="A7:B7"/>
    </sheetView>
  </sheetViews>
  <sheetFormatPr baseColWidth="10" defaultColWidth="10.85546875" defaultRowHeight="15" x14ac:dyDescent="0.25"/>
  <cols>
    <col min="1" max="1" width="10.140625" style="9" customWidth="1"/>
    <col min="2" max="2" width="42.85546875" style="9" customWidth="1"/>
    <col min="3" max="8" width="14.7109375" style="9" customWidth="1"/>
    <col min="9" max="9" width="56.42578125" style="58" customWidth="1"/>
    <col min="10" max="10" width="19.42578125" style="39" hidden="1" customWidth="1"/>
    <col min="11" max="16384" width="10.85546875" style="9"/>
  </cols>
  <sheetData>
    <row r="1" spans="1:11" ht="28.5" x14ac:dyDescent="0.25">
      <c r="A1" s="28" t="s">
        <v>44</v>
      </c>
      <c r="B1" s="4"/>
      <c r="C1" s="5"/>
      <c r="D1" s="5"/>
      <c r="E1" s="5"/>
      <c r="G1" s="10"/>
      <c r="H1" s="10"/>
    </row>
    <row r="2" spans="1:11" x14ac:dyDescent="0.25">
      <c r="A2" s="1"/>
      <c r="B2" s="7"/>
      <c r="C2" s="5"/>
      <c r="D2" s="5"/>
      <c r="E2" s="5"/>
      <c r="G2" s="10"/>
      <c r="H2" s="10"/>
    </row>
    <row r="3" spans="1:11" ht="18.75" x14ac:dyDescent="0.25">
      <c r="A3" s="29" t="s">
        <v>43</v>
      </c>
      <c r="B3" s="4"/>
      <c r="G3" s="10"/>
      <c r="H3" s="10"/>
    </row>
    <row r="4" spans="1:11" x14ac:dyDescent="0.25">
      <c r="A4" s="1"/>
      <c r="B4" s="4"/>
      <c r="G4" s="10"/>
      <c r="H4" s="10"/>
    </row>
    <row r="5" spans="1:11" ht="18.75" customHeight="1" x14ac:dyDescent="0.25">
      <c r="A5" s="127" t="s">
        <v>25</v>
      </c>
      <c r="B5" s="127"/>
      <c r="C5" s="127"/>
      <c r="D5" s="127"/>
      <c r="E5" s="127"/>
      <c r="F5" s="127"/>
      <c r="G5" s="127"/>
      <c r="H5" s="127"/>
      <c r="J5" s="40"/>
      <c r="K5" s="2"/>
    </row>
    <row r="6" spans="1:11" ht="18.75" customHeight="1" thickBot="1" x14ac:dyDescent="0.3">
      <c r="A6" s="14"/>
      <c r="B6" s="14"/>
      <c r="C6" s="14"/>
      <c r="D6" s="14"/>
      <c r="E6" s="14"/>
      <c r="F6" s="14"/>
      <c r="G6" s="14"/>
      <c r="H6" s="14"/>
      <c r="I6" s="59"/>
      <c r="J6" s="40" t="s">
        <v>54</v>
      </c>
      <c r="K6" s="2"/>
    </row>
    <row r="7" spans="1:11" ht="51" customHeight="1" thickBot="1" x14ac:dyDescent="0.3">
      <c r="A7" s="128" t="s">
        <v>181</v>
      </c>
      <c r="B7" s="129"/>
      <c r="C7" s="130" t="s">
        <v>133</v>
      </c>
      <c r="D7" s="130"/>
      <c r="E7" s="131"/>
      <c r="F7" s="131"/>
      <c r="G7" s="131"/>
      <c r="H7" s="132"/>
      <c r="J7" s="40" t="s">
        <v>50</v>
      </c>
      <c r="K7" s="2"/>
    </row>
    <row r="8" spans="1:11" ht="18" customHeight="1" thickBot="1" x14ac:dyDescent="0.3">
      <c r="A8" s="128" t="s">
        <v>36</v>
      </c>
      <c r="B8" s="129"/>
      <c r="C8" s="131" t="s">
        <v>81</v>
      </c>
      <c r="D8" s="131"/>
      <c r="E8" s="131"/>
      <c r="F8" s="131"/>
      <c r="G8" s="131"/>
      <c r="H8" s="132"/>
      <c r="J8" s="40" t="s">
        <v>56</v>
      </c>
      <c r="K8" s="2"/>
    </row>
    <row r="9" spans="1:11" ht="18" customHeight="1" thickBot="1" x14ac:dyDescent="0.3">
      <c r="A9" s="19" t="s">
        <v>37</v>
      </c>
      <c r="B9" s="20"/>
      <c r="C9" s="16"/>
      <c r="D9" s="16"/>
      <c r="E9" s="19" t="s">
        <v>24</v>
      </c>
      <c r="F9" s="17" t="s">
        <v>80</v>
      </c>
      <c r="G9" s="17"/>
      <c r="H9" s="18"/>
      <c r="J9" s="40" t="s">
        <v>55</v>
      </c>
      <c r="K9" s="2"/>
    </row>
    <row r="10" spans="1:11" ht="18" customHeight="1" thickBot="1" x14ac:dyDescent="0.3">
      <c r="A10" s="15"/>
      <c r="B10" s="15"/>
      <c r="E10" s="7"/>
      <c r="F10" s="7"/>
      <c r="G10" s="7"/>
      <c r="H10" s="7"/>
      <c r="J10" s="40" t="s">
        <v>59</v>
      </c>
      <c r="K10" s="2"/>
    </row>
    <row r="11" spans="1:11" ht="16.5" thickBot="1" x14ac:dyDescent="0.3">
      <c r="A11" s="128" t="s">
        <v>27</v>
      </c>
      <c r="B11" s="129"/>
      <c r="C11" s="129"/>
      <c r="D11" s="129"/>
      <c r="E11" s="129"/>
      <c r="F11" s="129"/>
      <c r="G11" s="133" t="s">
        <v>55</v>
      </c>
      <c r="H11" s="134"/>
      <c r="J11" s="40" t="s">
        <v>52</v>
      </c>
    </row>
    <row r="12" spans="1:11" s="3" customFormat="1" ht="16.5" thickBot="1" x14ac:dyDescent="0.3">
      <c r="A12" s="135" t="s">
        <v>26</v>
      </c>
      <c r="B12" s="136"/>
      <c r="C12" s="149">
        <v>85000</v>
      </c>
      <c r="D12" s="148"/>
      <c r="E12" s="135" t="s">
        <v>38</v>
      </c>
      <c r="F12" s="136"/>
      <c r="G12" s="137">
        <v>0</v>
      </c>
      <c r="H12" s="138"/>
      <c r="I12" s="60"/>
      <c r="J12" s="41" t="s">
        <v>53</v>
      </c>
    </row>
    <row r="13" spans="1:11" x14ac:dyDescent="0.25">
      <c r="A13" s="13"/>
      <c r="B13" s="13"/>
      <c r="C13" s="12"/>
      <c r="D13" s="12"/>
      <c r="E13" s="12"/>
      <c r="F13" s="12"/>
      <c r="G13" s="12"/>
      <c r="H13" s="12"/>
      <c r="I13" s="12"/>
      <c r="J13" s="42" t="s">
        <v>51</v>
      </c>
      <c r="K13" s="3"/>
    </row>
    <row r="14" spans="1:11" ht="18.75" x14ac:dyDescent="0.25">
      <c r="A14" s="127" t="s">
        <v>4</v>
      </c>
      <c r="B14" s="127"/>
      <c r="C14" s="127"/>
      <c r="D14" s="127"/>
      <c r="E14" s="127"/>
      <c r="F14" s="127"/>
      <c r="G14" s="127" t="s">
        <v>22</v>
      </c>
      <c r="H14" s="127"/>
      <c r="I14" s="61" t="s">
        <v>65</v>
      </c>
    </row>
    <row r="15" spans="1:11" x14ac:dyDescent="0.25">
      <c r="A15" s="6" t="s">
        <v>8</v>
      </c>
      <c r="B15" s="6" t="s">
        <v>2</v>
      </c>
      <c r="C15" s="6" t="s">
        <v>39</v>
      </c>
      <c r="D15" s="6" t="s">
        <v>3</v>
      </c>
      <c r="E15" s="6" t="s">
        <v>28</v>
      </c>
      <c r="F15" s="6" t="s">
        <v>1</v>
      </c>
      <c r="G15" s="21" t="s">
        <v>35</v>
      </c>
      <c r="H15" s="21" t="s">
        <v>42</v>
      </c>
      <c r="I15" s="62"/>
    </row>
    <row r="16" spans="1:11" x14ac:dyDescent="0.25">
      <c r="A16" s="71" t="s">
        <v>13</v>
      </c>
      <c r="B16" s="9" t="s">
        <v>85</v>
      </c>
      <c r="C16" s="74">
        <v>2</v>
      </c>
      <c r="D16" s="74" t="s">
        <v>3</v>
      </c>
      <c r="E16" s="34">
        <v>3500</v>
      </c>
      <c r="F16" s="34">
        <f>C16*E16</f>
        <v>7000</v>
      </c>
      <c r="G16" s="26">
        <v>10</v>
      </c>
      <c r="H16" s="32">
        <f>1/G16*F16</f>
        <v>700</v>
      </c>
      <c r="I16" s="63" t="s">
        <v>113</v>
      </c>
    </row>
    <row r="17" spans="1:10" x14ac:dyDescent="0.25">
      <c r="A17" s="91" t="s">
        <v>14</v>
      </c>
      <c r="B17" s="102" t="s">
        <v>135</v>
      </c>
      <c r="C17" s="47">
        <v>1</v>
      </c>
      <c r="D17" s="125" t="s">
        <v>74</v>
      </c>
      <c r="E17" s="34">
        <v>1900</v>
      </c>
      <c r="F17" s="34">
        <f>C17*E17</f>
        <v>1900</v>
      </c>
      <c r="G17" s="26">
        <v>10</v>
      </c>
      <c r="H17" s="32">
        <f>1/G17*F17</f>
        <v>190</v>
      </c>
      <c r="I17" s="63" t="s">
        <v>84</v>
      </c>
    </row>
    <row r="18" spans="1:10" x14ac:dyDescent="0.25">
      <c r="A18" s="91" t="s">
        <v>15</v>
      </c>
      <c r="B18" s="9" t="s">
        <v>134</v>
      </c>
      <c r="C18" s="47">
        <v>1</v>
      </c>
      <c r="D18" s="125" t="s">
        <v>74</v>
      </c>
      <c r="E18" s="34">
        <f>2000+3*250</f>
        <v>2750</v>
      </c>
      <c r="F18" s="34">
        <f>C18*E18</f>
        <v>2750</v>
      </c>
      <c r="G18" s="26">
        <v>10</v>
      </c>
      <c r="H18" s="32">
        <f t="shared" ref="H18" si="0">1/G18*F18</f>
        <v>275</v>
      </c>
      <c r="I18" s="63" t="s">
        <v>83</v>
      </c>
    </row>
    <row r="19" spans="1:10" s="11" customFormat="1" ht="30" x14ac:dyDescent="0.25">
      <c r="A19" s="91" t="s">
        <v>16</v>
      </c>
      <c r="B19" s="72" t="s">
        <v>75</v>
      </c>
      <c r="C19" s="51">
        <v>1</v>
      </c>
      <c r="D19" s="51" t="s">
        <v>3</v>
      </c>
      <c r="E19" s="73">
        <v>54000</v>
      </c>
      <c r="F19" s="34">
        <f>C19*E19</f>
        <v>54000</v>
      </c>
      <c r="G19" s="26">
        <v>5</v>
      </c>
      <c r="H19" s="32">
        <f t="shared" ref="H19" si="1">1/G19*F19</f>
        <v>10800</v>
      </c>
      <c r="I19" s="63" t="s">
        <v>76</v>
      </c>
      <c r="J19" s="43"/>
    </row>
    <row r="20" spans="1:10" s="11" customFormat="1" ht="30" x14ac:dyDescent="0.25">
      <c r="A20" s="91" t="s">
        <v>17</v>
      </c>
      <c r="B20" s="72" t="s">
        <v>136</v>
      </c>
      <c r="C20" s="51">
        <v>1</v>
      </c>
      <c r="D20" s="51" t="s">
        <v>74</v>
      </c>
      <c r="E20" s="73">
        <v>2000</v>
      </c>
      <c r="F20" s="34">
        <f t="shared" ref="F20" si="2">C20*E20</f>
        <v>2000</v>
      </c>
      <c r="G20" s="26"/>
      <c r="H20" s="32"/>
      <c r="I20" s="63"/>
      <c r="J20" s="43"/>
    </row>
    <row r="21" spans="1:10" x14ac:dyDescent="0.25">
      <c r="A21" s="54"/>
      <c r="B21" s="48"/>
      <c r="C21" s="54"/>
      <c r="D21" s="125"/>
      <c r="E21" s="34"/>
      <c r="F21" s="34"/>
      <c r="G21" s="26"/>
      <c r="H21" s="32"/>
      <c r="I21" s="63"/>
    </row>
    <row r="22" spans="1:10" s="7" customFormat="1" x14ac:dyDescent="0.25">
      <c r="A22" s="27" t="s">
        <v>9</v>
      </c>
      <c r="B22" s="126" t="s">
        <v>0</v>
      </c>
      <c r="C22" s="126"/>
      <c r="D22" s="126"/>
      <c r="E22" s="126"/>
      <c r="F22" s="33">
        <f>SUM(F16:F21)</f>
        <v>67650</v>
      </c>
      <c r="G22" s="22"/>
      <c r="H22" s="33">
        <f>SUM(H16:H20)</f>
        <v>11965</v>
      </c>
      <c r="I22" s="64"/>
      <c r="J22" s="41"/>
    </row>
    <row r="23" spans="1:10" x14ac:dyDescent="0.25">
      <c r="A23" s="7"/>
    </row>
    <row r="24" spans="1:10" s="156" customFormat="1" x14ac:dyDescent="0.25">
      <c r="A24" s="150"/>
      <c r="B24" s="151" t="s">
        <v>148</v>
      </c>
      <c r="C24" s="152"/>
      <c r="D24" s="152"/>
      <c r="E24" s="153"/>
      <c r="F24" s="153"/>
      <c r="G24" s="152"/>
      <c r="H24" s="152"/>
      <c r="I24" s="154"/>
      <c r="J24" s="155"/>
    </row>
    <row r="25" spans="1:10" s="102" customFormat="1" ht="14.45" customHeight="1" x14ac:dyDescent="0.25">
      <c r="A25" s="157" t="s">
        <v>13</v>
      </c>
      <c r="B25" s="102" t="s">
        <v>149</v>
      </c>
      <c r="C25" s="157">
        <v>0</v>
      </c>
      <c r="D25" s="157" t="s">
        <v>150</v>
      </c>
      <c r="E25" s="158">
        <v>3500</v>
      </c>
      <c r="F25" s="158">
        <f>C25*E25</f>
        <v>0</v>
      </c>
      <c r="G25" s="159">
        <v>10</v>
      </c>
      <c r="H25" s="160">
        <f>1/G25*F25</f>
        <v>0</v>
      </c>
      <c r="I25" s="161"/>
      <c r="J25" s="40"/>
    </row>
    <row r="26" spans="1:10" s="102" customFormat="1" x14ac:dyDescent="0.25">
      <c r="A26" s="157" t="s">
        <v>14</v>
      </c>
      <c r="B26" s="102" t="s">
        <v>151</v>
      </c>
      <c r="C26" s="157">
        <v>1</v>
      </c>
      <c r="D26" s="162" t="s">
        <v>74</v>
      </c>
      <c r="E26" s="158">
        <v>3000</v>
      </c>
      <c r="F26" s="158">
        <f>C26*E26</f>
        <v>3000</v>
      </c>
      <c r="G26" s="159">
        <v>10</v>
      </c>
      <c r="H26" s="160">
        <f>1/G26*F26</f>
        <v>300</v>
      </c>
      <c r="I26" s="161" t="s">
        <v>155</v>
      </c>
      <c r="J26" s="40"/>
    </row>
    <row r="27" spans="1:10" s="102" customFormat="1" x14ac:dyDescent="0.25">
      <c r="A27" s="157" t="s">
        <v>17</v>
      </c>
      <c r="B27" s="102" t="s">
        <v>152</v>
      </c>
      <c r="C27" s="157">
        <v>1</v>
      </c>
      <c r="D27" s="157" t="s">
        <v>74</v>
      </c>
      <c r="E27" s="158">
        <v>8000</v>
      </c>
      <c r="F27" s="158">
        <f>C27*E27</f>
        <v>8000</v>
      </c>
      <c r="G27" s="159">
        <v>10</v>
      </c>
      <c r="H27" s="160">
        <f t="shared" ref="H27" si="3">1/G27*F27</f>
        <v>800</v>
      </c>
      <c r="I27" s="161" t="s">
        <v>154</v>
      </c>
      <c r="J27" s="40"/>
    </row>
    <row r="28" spans="1:10" s="102" customFormat="1" x14ac:dyDescent="0.25">
      <c r="A28" s="157"/>
      <c r="B28" s="48"/>
      <c r="C28" s="157"/>
      <c r="D28" s="157"/>
      <c r="E28" s="158"/>
      <c r="F28" s="158"/>
      <c r="G28" s="159"/>
      <c r="H28" s="160"/>
      <c r="I28" s="161"/>
      <c r="J28" s="163"/>
    </row>
    <row r="29" spans="1:10" s="7" customFormat="1" x14ac:dyDescent="0.25">
      <c r="A29" s="124" t="s">
        <v>9</v>
      </c>
      <c r="B29" s="126" t="s">
        <v>153</v>
      </c>
      <c r="C29" s="126"/>
      <c r="D29" s="126"/>
      <c r="E29" s="126"/>
      <c r="F29" s="33">
        <f>SUM(F25:F28)</f>
        <v>11000</v>
      </c>
      <c r="G29" s="22"/>
      <c r="H29" s="33">
        <f>SUM(H25:H28)</f>
        <v>1100</v>
      </c>
      <c r="I29" s="64"/>
      <c r="J29" s="41"/>
    </row>
    <row r="42" spans="1:2" x14ac:dyDescent="0.25">
      <c r="A42" s="11"/>
      <c r="B42" s="11"/>
    </row>
    <row r="43" spans="1:2" x14ac:dyDescent="0.25">
      <c r="A43" s="11"/>
      <c r="B43" s="11"/>
    </row>
    <row r="44" spans="1:2" x14ac:dyDescent="0.25">
      <c r="A44" s="11"/>
      <c r="B44" s="11"/>
    </row>
    <row r="45" spans="1:2" x14ac:dyDescent="0.25">
      <c r="A45" s="11"/>
      <c r="B45" s="11"/>
    </row>
    <row r="46" spans="1:2" x14ac:dyDescent="0.25">
      <c r="A46" s="11"/>
      <c r="B46" s="11"/>
    </row>
    <row r="47" spans="1:2" x14ac:dyDescent="0.25">
      <c r="B47" s="11"/>
    </row>
  </sheetData>
  <mergeCells count="15">
    <mergeCell ref="B29:E29"/>
    <mergeCell ref="B22:E22"/>
    <mergeCell ref="A5:H5"/>
    <mergeCell ref="A7:B7"/>
    <mergeCell ref="C7:H7"/>
    <mergeCell ref="A8:B8"/>
    <mergeCell ref="C8:H8"/>
    <mergeCell ref="A11:F11"/>
    <mergeCell ref="G11:H11"/>
    <mergeCell ref="A12:B12"/>
    <mergeCell ref="E12:F12"/>
    <mergeCell ref="G12:H12"/>
    <mergeCell ref="A14:F14"/>
    <mergeCell ref="G14:H14"/>
    <mergeCell ref="C12:D12"/>
  </mergeCells>
  <dataValidations count="1">
    <dataValidation type="list" allowBlank="1" showInputMessage="1" showErrorMessage="1" sqref="G11:I11" xr:uid="{00000000-0002-0000-0000-000000000000}">
      <formula1>$J$7:$J$15</formula1>
    </dataValidation>
  </dataValidation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81"/>
  <sheetViews>
    <sheetView zoomScale="85" zoomScaleNormal="85" zoomScalePageLayoutView="85" workbookViewId="0">
      <pane ySplit="6" topLeftCell="A7" activePane="bottomLeft" state="frozen"/>
      <selection pane="bottomLeft" activeCell="A6" sqref="A6:E6"/>
    </sheetView>
  </sheetViews>
  <sheetFormatPr baseColWidth="10" defaultColWidth="10.85546875" defaultRowHeight="15" x14ac:dyDescent="0.25"/>
  <cols>
    <col min="1" max="1" width="10.140625" style="9" customWidth="1"/>
    <col min="2" max="2" width="44" style="9" customWidth="1"/>
    <col min="3" max="9" width="14.7109375" style="9" customWidth="1"/>
    <col min="10" max="10" width="3.42578125" style="9" customWidth="1"/>
    <col min="11" max="13" width="14.7109375" style="38" customWidth="1"/>
    <col min="14" max="14" width="86.7109375" style="66" customWidth="1"/>
    <col min="15" max="15" width="19.7109375" style="9" customWidth="1"/>
    <col min="16" max="16384" width="10.85546875" style="9"/>
  </cols>
  <sheetData>
    <row r="1" spans="1:16" ht="28.5" x14ac:dyDescent="0.25">
      <c r="A1" s="28" t="s">
        <v>34</v>
      </c>
      <c r="B1" s="4"/>
      <c r="C1" s="5"/>
      <c r="D1" s="5"/>
      <c r="F1" s="10"/>
      <c r="G1" s="10"/>
      <c r="H1" s="57"/>
      <c r="I1" s="125"/>
      <c r="J1" s="10"/>
      <c r="K1" s="34"/>
      <c r="L1" s="34"/>
      <c r="M1" s="34"/>
    </row>
    <row r="2" spans="1:16" x14ac:dyDescent="0.25">
      <c r="A2" s="1"/>
      <c r="B2" s="7"/>
      <c r="C2" s="5"/>
      <c r="D2" s="5"/>
      <c r="F2" s="10"/>
      <c r="G2" s="10"/>
      <c r="H2" s="57"/>
      <c r="I2" s="125"/>
      <c r="J2" s="10"/>
      <c r="K2" s="34"/>
      <c r="L2" s="34"/>
      <c r="M2" s="34"/>
    </row>
    <row r="3" spans="1:16" ht="18.75" x14ac:dyDescent="0.25">
      <c r="A3" s="29" t="s">
        <v>45</v>
      </c>
      <c r="B3" s="4"/>
      <c r="F3" s="10"/>
      <c r="G3" s="10"/>
      <c r="H3" s="57"/>
      <c r="I3" s="125"/>
      <c r="J3" s="10"/>
      <c r="K3" s="34"/>
      <c r="L3" s="34"/>
      <c r="M3" s="34"/>
    </row>
    <row r="4" spans="1:16" ht="46.5" customHeight="1" x14ac:dyDescent="0.25">
      <c r="A4" s="193" t="s">
        <v>159</v>
      </c>
      <c r="B4" s="193"/>
      <c r="C4" s="193"/>
      <c r="D4" s="193"/>
      <c r="E4" s="193"/>
      <c r="F4" s="193"/>
      <c r="G4" s="193"/>
      <c r="H4" s="193"/>
      <c r="I4" s="193"/>
      <c r="J4" s="193"/>
      <c r="K4" s="193"/>
      <c r="L4" s="193"/>
      <c r="M4" s="193"/>
      <c r="N4" s="193"/>
      <c r="O4" s="66"/>
    </row>
    <row r="5" spans="1:16" ht="5.25" customHeight="1" thickBot="1" x14ac:dyDescent="0.3">
      <c r="A5" s="1"/>
      <c r="B5" s="4"/>
      <c r="F5" s="10"/>
      <c r="G5" s="10"/>
      <c r="H5" s="57"/>
      <c r="I5" s="125"/>
      <c r="J5" s="10"/>
      <c r="K5" s="34"/>
      <c r="L5" s="34"/>
      <c r="M5" s="34"/>
    </row>
    <row r="6" spans="1:16" ht="16.5" thickBot="1" x14ac:dyDescent="0.3">
      <c r="A6" s="128" t="s">
        <v>27</v>
      </c>
      <c r="B6" s="129"/>
      <c r="C6" s="129"/>
      <c r="D6" s="129"/>
      <c r="E6" s="129"/>
      <c r="F6" s="133" t="s">
        <v>55</v>
      </c>
      <c r="G6" s="134"/>
      <c r="H6" s="125"/>
      <c r="I6" s="125"/>
      <c r="K6" s="35" t="s">
        <v>49</v>
      </c>
      <c r="L6" s="35"/>
      <c r="M6" s="35">
        <f>IF(F6="hebdomadaire",52,IF(F6="quincénaire",26,IF(F6="mensuel",12,IF(F6="trimestrielle (3mois)",4,IF(F6="semestre (6mois)",2,IF(F6="annuel",1,IF(F6="bimensuel (2mois)",6,1)))))))</f>
        <v>12</v>
      </c>
    </row>
    <row r="7" spans="1:16" ht="15.75" thickBot="1" x14ac:dyDescent="0.3">
      <c r="A7" s="1"/>
      <c r="B7" s="4"/>
      <c r="F7" s="10"/>
      <c r="G7" s="10"/>
      <c r="H7" s="57"/>
      <c r="I7" s="125"/>
      <c r="J7" s="10"/>
      <c r="K7" s="34"/>
      <c r="L7" s="34"/>
      <c r="M7" s="34"/>
    </row>
    <row r="8" spans="1:16" ht="18.75" x14ac:dyDescent="0.25">
      <c r="A8" s="127" t="s">
        <v>29</v>
      </c>
      <c r="B8" s="127"/>
      <c r="C8" s="127"/>
      <c r="D8" s="127"/>
      <c r="E8" s="127"/>
      <c r="F8" s="127"/>
      <c r="G8" s="127"/>
      <c r="H8" s="189" t="s">
        <v>158</v>
      </c>
      <c r="I8" s="190"/>
      <c r="J8" s="10"/>
      <c r="K8" s="36" t="s">
        <v>47</v>
      </c>
      <c r="L8" s="36" t="s">
        <v>46</v>
      </c>
      <c r="M8" s="36" t="s">
        <v>48</v>
      </c>
      <c r="N8" s="67" t="s">
        <v>65</v>
      </c>
      <c r="O8" s="46"/>
    </row>
    <row r="9" spans="1:16" ht="14.45" customHeight="1" x14ac:dyDescent="0.25">
      <c r="A9" s="6" t="s">
        <v>10</v>
      </c>
      <c r="B9" s="25" t="s">
        <v>23</v>
      </c>
      <c r="C9" s="6" t="s">
        <v>39</v>
      </c>
      <c r="D9" s="6" t="s">
        <v>3</v>
      </c>
      <c r="E9" s="6" t="s">
        <v>28</v>
      </c>
      <c r="F9" s="6" t="s">
        <v>3</v>
      </c>
      <c r="G9" s="6" t="s">
        <v>69</v>
      </c>
      <c r="H9" s="174" t="s">
        <v>70</v>
      </c>
      <c r="I9" s="175" t="s">
        <v>3</v>
      </c>
      <c r="J9" s="10"/>
      <c r="K9" s="37" t="s">
        <v>1</v>
      </c>
      <c r="L9" s="37" t="s">
        <v>1</v>
      </c>
      <c r="M9" s="37" t="s">
        <v>1</v>
      </c>
      <c r="N9" s="68"/>
    </row>
    <row r="10" spans="1:16" x14ac:dyDescent="0.25">
      <c r="A10" s="23"/>
      <c r="B10" s="24" t="s">
        <v>5</v>
      </c>
      <c r="C10" s="21"/>
      <c r="D10" s="21"/>
      <c r="E10" s="26"/>
      <c r="F10" s="26"/>
      <c r="G10" s="26"/>
      <c r="H10" s="166"/>
      <c r="I10" s="167"/>
      <c r="J10" s="10"/>
      <c r="K10" s="32"/>
      <c r="L10" s="32"/>
      <c r="M10" s="32"/>
      <c r="N10" s="63"/>
      <c r="O10" s="2"/>
    </row>
    <row r="11" spans="1:16" x14ac:dyDescent="0.25">
      <c r="A11" s="50" t="s">
        <v>18</v>
      </c>
      <c r="B11" s="9" t="s">
        <v>137</v>
      </c>
      <c r="C11" s="51">
        <v>1</v>
      </c>
      <c r="D11" s="50" t="s">
        <v>32</v>
      </c>
      <c r="E11" s="34">
        <v>2000</v>
      </c>
      <c r="F11" s="57" t="s">
        <v>66</v>
      </c>
      <c r="G11" s="34">
        <f>C11*E11</f>
        <v>2000</v>
      </c>
      <c r="H11" s="164">
        <f>G11</f>
        <v>2000</v>
      </c>
      <c r="I11" s="165" t="s">
        <v>61</v>
      </c>
      <c r="J11" s="10"/>
      <c r="K11" s="34">
        <f>H11*$M$6</f>
        <v>24000</v>
      </c>
      <c r="L11" s="34">
        <f>K11</f>
        <v>24000</v>
      </c>
      <c r="M11" s="34">
        <f>L11</f>
        <v>24000</v>
      </c>
      <c r="N11" s="66" t="s">
        <v>82</v>
      </c>
      <c r="O11" s="2"/>
    </row>
    <row r="12" spans="1:16" s="86" customFormat="1" x14ac:dyDescent="0.25">
      <c r="A12" s="83" t="s">
        <v>64</v>
      </c>
      <c r="B12" s="86" t="s">
        <v>67</v>
      </c>
      <c r="C12" s="121">
        <f>1/6</f>
        <v>0.16666666666666666</v>
      </c>
      <c r="D12" s="83" t="s">
        <v>67</v>
      </c>
      <c r="E12" s="84">
        <v>1500</v>
      </c>
      <c r="F12" s="83" t="s">
        <v>66</v>
      </c>
      <c r="G12" s="84">
        <f t="shared" ref="G12" si="0">C12*E12</f>
        <v>250</v>
      </c>
      <c r="H12" s="176">
        <f t="shared" ref="H12" si="1">G12</f>
        <v>250</v>
      </c>
      <c r="I12" s="165" t="s">
        <v>61</v>
      </c>
      <c r="J12" s="83"/>
      <c r="K12" s="84">
        <f>H12*$M$6</f>
        <v>3000</v>
      </c>
      <c r="L12" s="84">
        <f>K12</f>
        <v>3000</v>
      </c>
      <c r="M12" s="84">
        <f>L12</f>
        <v>3000</v>
      </c>
      <c r="N12" s="122" t="s">
        <v>68</v>
      </c>
      <c r="O12" s="2"/>
    </row>
    <row r="13" spans="1:16" x14ac:dyDescent="0.25">
      <c r="A13" s="56"/>
      <c r="C13" s="57"/>
      <c r="D13" s="57"/>
      <c r="E13" s="34"/>
      <c r="F13" s="57"/>
      <c r="G13" s="34"/>
      <c r="H13" s="164"/>
      <c r="I13" s="165"/>
      <c r="J13" s="10"/>
      <c r="K13" s="34">
        <f>H13*$M$6</f>
        <v>0</v>
      </c>
      <c r="L13" s="34">
        <f t="shared" ref="L13:M14" si="2">K13</f>
        <v>0</v>
      </c>
      <c r="M13" s="34">
        <f t="shared" si="2"/>
        <v>0</v>
      </c>
      <c r="N13" s="9"/>
      <c r="O13" s="30"/>
    </row>
    <row r="14" spans="1:16" x14ac:dyDescent="0.25">
      <c r="A14" s="49"/>
      <c r="C14" s="10"/>
      <c r="D14" s="10"/>
      <c r="E14" s="34"/>
      <c r="F14" s="10"/>
      <c r="G14" s="34"/>
      <c r="H14" s="164"/>
      <c r="I14" s="165"/>
      <c r="J14" s="10"/>
      <c r="K14" s="34">
        <f>H14*$M$6</f>
        <v>0</v>
      </c>
      <c r="L14" s="34">
        <f t="shared" si="2"/>
        <v>0</v>
      </c>
      <c r="M14" s="34">
        <f t="shared" si="2"/>
        <v>0</v>
      </c>
      <c r="O14" s="31"/>
    </row>
    <row r="15" spans="1:16" x14ac:dyDescent="0.25">
      <c r="A15" s="23"/>
      <c r="B15" s="24" t="s">
        <v>6</v>
      </c>
      <c r="C15" s="21"/>
      <c r="D15" s="21"/>
      <c r="E15" s="26"/>
      <c r="F15" s="26"/>
      <c r="G15" s="65" t="s">
        <v>114</v>
      </c>
      <c r="H15" s="177" t="s">
        <v>73</v>
      </c>
      <c r="I15" s="178"/>
      <c r="J15" s="10"/>
      <c r="K15" s="32"/>
      <c r="L15" s="32"/>
      <c r="M15" s="32"/>
      <c r="N15" s="63"/>
    </row>
    <row r="16" spans="1:16" x14ac:dyDescent="0.25">
      <c r="A16" s="75" t="s">
        <v>89</v>
      </c>
      <c r="B16" s="9" t="s">
        <v>77</v>
      </c>
      <c r="C16" s="75">
        <v>96</v>
      </c>
      <c r="D16" s="75" t="s">
        <v>78</v>
      </c>
      <c r="E16" s="73">
        <v>20</v>
      </c>
      <c r="F16" s="75" t="s">
        <v>61</v>
      </c>
      <c r="G16" s="34">
        <f>C16*E16</f>
        <v>1920</v>
      </c>
      <c r="H16" s="164">
        <f>G16*3</f>
        <v>5760</v>
      </c>
      <c r="I16" s="165" t="s">
        <v>61</v>
      </c>
      <c r="J16" s="77"/>
      <c r="K16" s="34">
        <f t="shared" ref="K16:K23" si="3">H16*$M$6</f>
        <v>69120</v>
      </c>
      <c r="L16" s="34">
        <f t="shared" ref="L16:L23" si="4">K16</f>
        <v>69120</v>
      </c>
      <c r="M16" s="34">
        <f t="shared" ref="M16:M23" si="5">L16</f>
        <v>69120</v>
      </c>
      <c r="N16" s="66" t="s">
        <v>86</v>
      </c>
      <c r="O16" s="66"/>
      <c r="P16" s="46"/>
    </row>
    <row r="17" spans="1:17" x14ac:dyDescent="0.25">
      <c r="A17" s="91" t="s">
        <v>19</v>
      </c>
      <c r="B17" s="9" t="s">
        <v>62</v>
      </c>
      <c r="C17" s="76">
        <v>100</v>
      </c>
      <c r="D17" s="76" t="s">
        <v>78</v>
      </c>
      <c r="E17" s="73">
        <v>20</v>
      </c>
      <c r="F17" s="76" t="s">
        <v>61</v>
      </c>
      <c r="G17" s="34">
        <f t="shared" ref="G17" si="6">C17*E17</f>
        <v>2000</v>
      </c>
      <c r="H17" s="164">
        <f t="shared" ref="H17:H19" si="7">G17*3</f>
        <v>6000</v>
      </c>
      <c r="I17" s="165" t="s">
        <v>61</v>
      </c>
      <c r="J17" s="77"/>
      <c r="K17" s="34">
        <f t="shared" ref="K17:K18" si="8">H17*$M$6</f>
        <v>72000</v>
      </c>
      <c r="L17" s="34">
        <f t="shared" ref="L17:L21" si="9">K17</f>
        <v>72000</v>
      </c>
      <c r="M17" s="34">
        <f t="shared" ref="M17:M21" si="10">L17</f>
        <v>72000</v>
      </c>
      <c r="N17" s="66" t="s">
        <v>86</v>
      </c>
      <c r="O17" s="66"/>
      <c r="P17" s="46"/>
    </row>
    <row r="18" spans="1:17" x14ac:dyDescent="0.25">
      <c r="A18" s="91" t="s">
        <v>71</v>
      </c>
      <c r="B18" s="9" t="s">
        <v>87</v>
      </c>
      <c r="C18" s="76">
        <v>1</v>
      </c>
      <c r="D18" s="76" t="s">
        <v>79</v>
      </c>
      <c r="E18" s="34">
        <v>900</v>
      </c>
      <c r="F18" s="76" t="s">
        <v>61</v>
      </c>
      <c r="G18" s="34">
        <f>C18*E18</f>
        <v>900</v>
      </c>
      <c r="H18" s="164">
        <f t="shared" si="7"/>
        <v>2700</v>
      </c>
      <c r="I18" s="165" t="s">
        <v>61</v>
      </c>
      <c r="J18" s="77"/>
      <c r="K18" s="34">
        <f t="shared" si="8"/>
        <v>32400</v>
      </c>
      <c r="L18" s="34">
        <f t="shared" si="9"/>
        <v>32400</v>
      </c>
      <c r="M18" s="34">
        <f t="shared" si="10"/>
        <v>32400</v>
      </c>
      <c r="N18" s="66" t="s">
        <v>115</v>
      </c>
      <c r="O18" s="66"/>
      <c r="P18" s="46"/>
    </row>
    <row r="19" spans="1:17" s="86" customFormat="1" x14ac:dyDescent="0.25">
      <c r="A19" s="91" t="s">
        <v>72</v>
      </c>
      <c r="B19" s="86" t="s">
        <v>96</v>
      </c>
      <c r="C19" s="83">
        <v>1</v>
      </c>
      <c r="D19" s="83" t="s">
        <v>74</v>
      </c>
      <c r="E19" s="85">
        <f>ROUNDUP(SUM(C16:C17)/2,-1)</f>
        <v>100</v>
      </c>
      <c r="F19" s="83" t="s">
        <v>61</v>
      </c>
      <c r="G19" s="84">
        <f t="shared" ref="G19" si="11">C19*E19</f>
        <v>100</v>
      </c>
      <c r="H19" s="176">
        <f t="shared" si="7"/>
        <v>300</v>
      </c>
      <c r="I19" s="165" t="s">
        <v>61</v>
      </c>
      <c r="J19" s="83"/>
      <c r="K19" s="84">
        <f>H19*$M$6</f>
        <v>3600</v>
      </c>
      <c r="L19" s="84">
        <f t="shared" si="9"/>
        <v>3600</v>
      </c>
      <c r="M19" s="84">
        <f t="shared" si="10"/>
        <v>3600</v>
      </c>
      <c r="N19" s="122" t="s">
        <v>86</v>
      </c>
      <c r="O19" s="30"/>
      <c r="P19" s="123"/>
    </row>
    <row r="20" spans="1:17" ht="30" x14ac:dyDescent="0.25">
      <c r="A20" s="91" t="s">
        <v>90</v>
      </c>
      <c r="B20" s="102" t="s">
        <v>179</v>
      </c>
      <c r="C20" s="76">
        <v>1</v>
      </c>
      <c r="D20" s="83" t="s">
        <v>74</v>
      </c>
      <c r="E20" s="73">
        <v>2450</v>
      </c>
      <c r="F20" s="76" t="s">
        <v>61</v>
      </c>
      <c r="G20" s="34">
        <f>E20</f>
        <v>2450</v>
      </c>
      <c r="H20" s="164">
        <f>E20</f>
        <v>2450</v>
      </c>
      <c r="I20" s="165" t="s">
        <v>61</v>
      </c>
      <c r="J20" s="77"/>
      <c r="K20" s="34">
        <f t="shared" ref="K20:K21" si="12">H20*$M$6</f>
        <v>29400</v>
      </c>
      <c r="L20" s="34">
        <f t="shared" si="9"/>
        <v>29400</v>
      </c>
      <c r="M20" s="34">
        <f t="shared" si="10"/>
        <v>29400</v>
      </c>
      <c r="N20" s="66" t="s">
        <v>110</v>
      </c>
      <c r="O20" s="66"/>
      <c r="P20" s="46"/>
    </row>
    <row r="21" spans="1:17" x14ac:dyDescent="0.25">
      <c r="A21" s="91" t="s">
        <v>91</v>
      </c>
      <c r="B21" s="9" t="s">
        <v>94</v>
      </c>
      <c r="C21" s="76">
        <v>1</v>
      </c>
      <c r="D21" s="83" t="s">
        <v>74</v>
      </c>
      <c r="E21" s="85">
        <v>100</v>
      </c>
      <c r="F21" s="76" t="s">
        <v>61</v>
      </c>
      <c r="G21" s="34">
        <f>E21</f>
        <v>100</v>
      </c>
      <c r="H21" s="164">
        <f>E21</f>
        <v>100</v>
      </c>
      <c r="I21" s="165" t="s">
        <v>61</v>
      </c>
      <c r="J21" s="77"/>
      <c r="K21" s="34">
        <f t="shared" si="12"/>
        <v>1200</v>
      </c>
      <c r="L21" s="34">
        <f t="shared" si="9"/>
        <v>1200</v>
      </c>
      <c r="M21" s="34">
        <f t="shared" si="10"/>
        <v>1200</v>
      </c>
      <c r="N21" s="66" t="s">
        <v>111</v>
      </c>
      <c r="O21" s="66"/>
      <c r="P21" s="46"/>
    </row>
    <row r="22" spans="1:17" x14ac:dyDescent="0.25">
      <c r="A22" s="91" t="s">
        <v>92</v>
      </c>
      <c r="B22" s="9" t="s">
        <v>139</v>
      </c>
      <c r="C22" s="75">
        <v>2</v>
      </c>
      <c r="D22" s="75" t="s">
        <v>142</v>
      </c>
      <c r="E22" s="88">
        <v>1400</v>
      </c>
      <c r="F22" s="75" t="s">
        <v>61</v>
      </c>
      <c r="G22" s="34">
        <f>C22*E22</f>
        <v>2800</v>
      </c>
      <c r="H22" s="164">
        <f>G22*2</f>
        <v>5600</v>
      </c>
      <c r="I22" s="165" t="s">
        <v>61</v>
      </c>
      <c r="J22" s="77"/>
      <c r="K22" s="34">
        <f t="shared" si="3"/>
        <v>67200</v>
      </c>
      <c r="L22" s="34">
        <f t="shared" si="4"/>
        <v>67200</v>
      </c>
      <c r="M22" s="34">
        <f t="shared" si="5"/>
        <v>67200</v>
      </c>
      <c r="N22" s="66" t="s">
        <v>116</v>
      </c>
      <c r="O22" s="66"/>
      <c r="P22" s="46"/>
    </row>
    <row r="23" spans="1:17" x14ac:dyDescent="0.25">
      <c r="A23" s="91" t="s">
        <v>99</v>
      </c>
      <c r="B23" s="9" t="s">
        <v>140</v>
      </c>
      <c r="C23" s="76">
        <v>2</v>
      </c>
      <c r="D23" s="76" t="s">
        <v>141</v>
      </c>
      <c r="E23" s="34">
        <v>1000</v>
      </c>
      <c r="F23" s="76" t="s">
        <v>61</v>
      </c>
      <c r="G23" s="34">
        <f t="shared" ref="G23" si="13">C23*E23</f>
        <v>2000</v>
      </c>
      <c r="H23" s="164">
        <f t="shared" ref="H23" si="14">G23*2</f>
        <v>4000</v>
      </c>
      <c r="I23" s="165" t="s">
        <v>61</v>
      </c>
      <c r="J23" s="77"/>
      <c r="K23" s="34">
        <f t="shared" si="3"/>
        <v>48000</v>
      </c>
      <c r="L23" s="34">
        <f t="shared" si="4"/>
        <v>48000</v>
      </c>
      <c r="M23" s="34">
        <f t="shared" si="5"/>
        <v>48000</v>
      </c>
      <c r="N23" s="66" t="s">
        <v>116</v>
      </c>
      <c r="O23" s="66"/>
    </row>
    <row r="24" spans="1:17" x14ac:dyDescent="0.25">
      <c r="A24" s="91" t="s">
        <v>102</v>
      </c>
      <c r="B24" s="9" t="s">
        <v>108</v>
      </c>
      <c r="C24" s="76">
        <v>150</v>
      </c>
      <c r="D24" s="76" t="s">
        <v>143</v>
      </c>
      <c r="E24" s="89">
        <v>9.5</v>
      </c>
      <c r="F24" s="76" t="s">
        <v>61</v>
      </c>
      <c r="G24" s="34">
        <f>C24*E24</f>
        <v>1425</v>
      </c>
      <c r="H24" s="164">
        <f>G24*2</f>
        <v>2850</v>
      </c>
      <c r="I24" s="165" t="s">
        <v>61</v>
      </c>
      <c r="J24" s="77"/>
      <c r="K24" s="34">
        <f t="shared" ref="K24" si="15">H24*$M$6</f>
        <v>34200</v>
      </c>
      <c r="L24" s="34">
        <f t="shared" ref="L24" si="16">K24</f>
        <v>34200</v>
      </c>
      <c r="M24" s="34">
        <f t="shared" ref="M24" si="17">L24</f>
        <v>34200</v>
      </c>
      <c r="N24" s="66" t="s">
        <v>109</v>
      </c>
      <c r="O24" s="66"/>
    </row>
    <row r="25" spans="1:17" x14ac:dyDescent="0.25">
      <c r="A25" s="125"/>
      <c r="C25" s="125"/>
      <c r="D25" s="125"/>
      <c r="E25" s="73"/>
      <c r="F25" s="125"/>
      <c r="G25" s="34"/>
      <c r="H25" s="164"/>
      <c r="I25" s="165"/>
      <c r="J25" s="51"/>
      <c r="K25" s="34"/>
      <c r="L25" s="34"/>
      <c r="M25" s="34"/>
      <c r="O25" s="2"/>
    </row>
    <row r="26" spans="1:17" x14ac:dyDescent="0.25">
      <c r="A26" s="23"/>
      <c r="B26" s="151" t="s">
        <v>156</v>
      </c>
      <c r="C26" s="21"/>
      <c r="D26" s="21"/>
      <c r="E26" s="26"/>
      <c r="F26" s="26"/>
      <c r="G26" s="26"/>
      <c r="H26" s="166"/>
      <c r="I26" s="167"/>
      <c r="J26" s="51"/>
      <c r="K26" s="32"/>
      <c r="L26" s="32"/>
      <c r="M26" s="32"/>
      <c r="N26" s="32"/>
      <c r="O26" s="2"/>
      <c r="P26" s="2"/>
    </row>
    <row r="27" spans="1:17" s="156" customFormat="1" x14ac:dyDescent="0.25">
      <c r="A27" s="168" t="s">
        <v>18</v>
      </c>
      <c r="B27" s="169" t="s">
        <v>157</v>
      </c>
      <c r="C27" s="168">
        <v>1</v>
      </c>
      <c r="D27" s="168" t="s">
        <v>150</v>
      </c>
      <c r="E27" s="170">
        <v>1200</v>
      </c>
      <c r="F27" s="168" t="s">
        <v>61</v>
      </c>
      <c r="G27" s="170">
        <f>C27*E27</f>
        <v>1200</v>
      </c>
      <c r="H27" s="171"/>
      <c r="I27" s="172" t="s">
        <v>61</v>
      </c>
      <c r="J27" s="51"/>
      <c r="K27" s="170"/>
      <c r="L27" s="170">
        <f>G27*$M$6</f>
        <v>14400</v>
      </c>
      <c r="M27" s="170">
        <f>L27</f>
        <v>14400</v>
      </c>
      <c r="N27" s="170"/>
      <c r="O27" s="2"/>
      <c r="Q27" s="173"/>
    </row>
    <row r="28" spans="1:17" x14ac:dyDescent="0.25">
      <c r="A28" s="10"/>
      <c r="C28" s="10"/>
      <c r="D28" s="10"/>
      <c r="E28" s="34"/>
      <c r="F28" s="10"/>
      <c r="G28" s="34"/>
      <c r="H28" s="164"/>
      <c r="I28" s="165"/>
      <c r="J28" s="10"/>
      <c r="K28" s="34"/>
      <c r="L28" s="34"/>
      <c r="M28" s="34"/>
    </row>
    <row r="29" spans="1:17" s="7" customFormat="1" x14ac:dyDescent="0.25">
      <c r="A29" s="27" t="s">
        <v>7</v>
      </c>
      <c r="B29" s="126" t="s">
        <v>0</v>
      </c>
      <c r="C29" s="126"/>
      <c r="D29" s="126"/>
      <c r="E29" s="126"/>
      <c r="F29" s="126"/>
      <c r="G29" s="33"/>
      <c r="H29" s="179">
        <f>SUM(H10:H28)</f>
        <v>32010</v>
      </c>
      <c r="I29" s="180"/>
      <c r="J29" s="8"/>
      <c r="K29" s="33">
        <f>SUM(K10:K28)</f>
        <v>384120</v>
      </c>
      <c r="L29" s="33">
        <f>SUM(L10:L28)</f>
        <v>398520</v>
      </c>
      <c r="M29" s="33">
        <f>SUM(M10:M28)</f>
        <v>398520</v>
      </c>
      <c r="N29" s="64"/>
    </row>
    <row r="30" spans="1:17" ht="24" customHeight="1" x14ac:dyDescent="0.25">
      <c r="H30" s="181"/>
      <c r="I30" s="182"/>
      <c r="J30" s="10"/>
    </row>
    <row r="31" spans="1:17" ht="18.75" x14ac:dyDescent="0.25">
      <c r="A31" s="127" t="s">
        <v>30</v>
      </c>
      <c r="B31" s="127"/>
      <c r="C31" s="127"/>
      <c r="D31" s="127"/>
      <c r="E31" s="127"/>
      <c r="F31" s="127"/>
      <c r="G31" s="127"/>
      <c r="H31" s="191" t="s">
        <v>158</v>
      </c>
      <c r="I31" s="192"/>
      <c r="J31" s="10"/>
      <c r="K31" s="36" t="s">
        <v>47</v>
      </c>
      <c r="L31" s="36" t="s">
        <v>46</v>
      </c>
      <c r="M31" s="36" t="s">
        <v>48</v>
      </c>
      <c r="N31" s="67" t="s">
        <v>65</v>
      </c>
    </row>
    <row r="32" spans="1:17" x14ac:dyDescent="0.25">
      <c r="A32" s="6" t="s">
        <v>11</v>
      </c>
      <c r="B32" s="6" t="s">
        <v>31</v>
      </c>
      <c r="C32" s="6" t="s">
        <v>39</v>
      </c>
      <c r="D32" s="6" t="s">
        <v>3</v>
      </c>
      <c r="E32" s="6" t="s">
        <v>33</v>
      </c>
      <c r="F32" s="6" t="s">
        <v>3</v>
      </c>
      <c r="G32" s="6" t="s">
        <v>69</v>
      </c>
      <c r="H32" s="174" t="s">
        <v>70</v>
      </c>
      <c r="I32" s="175" t="s">
        <v>3</v>
      </c>
      <c r="J32" s="10"/>
      <c r="K32" s="37" t="s">
        <v>1</v>
      </c>
      <c r="L32" s="37" t="s">
        <v>1</v>
      </c>
      <c r="M32" s="37" t="s">
        <v>1</v>
      </c>
      <c r="N32" s="68"/>
    </row>
    <row r="33" spans="1:17" x14ac:dyDescent="0.25">
      <c r="A33" s="50" t="s">
        <v>20</v>
      </c>
      <c r="B33" s="9" t="s">
        <v>60</v>
      </c>
      <c r="C33" s="50">
        <f>C16</f>
        <v>96</v>
      </c>
      <c r="D33" s="50" t="str">
        <f>D16</f>
        <v>kg</v>
      </c>
      <c r="E33" s="34">
        <v>60</v>
      </c>
      <c r="F33" s="50" t="s">
        <v>61</v>
      </c>
      <c r="G33" s="34">
        <f>C33*E33</f>
        <v>5760</v>
      </c>
      <c r="H33" s="164">
        <f>G33*3</f>
        <v>17280</v>
      </c>
      <c r="I33" s="165" t="s">
        <v>61</v>
      </c>
      <c r="J33" s="49"/>
      <c r="K33" s="34">
        <f t="shared" ref="K33:K39" si="18">H33*$M$6</f>
        <v>207360</v>
      </c>
      <c r="L33" s="34">
        <f t="shared" ref="L33:M40" si="19">K33</f>
        <v>207360</v>
      </c>
      <c r="M33" s="34">
        <f t="shared" si="19"/>
        <v>207360</v>
      </c>
      <c r="O33" s="46"/>
      <c r="P33" s="46"/>
    </row>
    <row r="34" spans="1:17" x14ac:dyDescent="0.25">
      <c r="A34" s="91" t="s">
        <v>88</v>
      </c>
      <c r="B34" s="9" t="s">
        <v>62</v>
      </c>
      <c r="C34" s="91">
        <v>100</v>
      </c>
      <c r="D34" s="91" t="str">
        <f>D17</f>
        <v>kg</v>
      </c>
      <c r="E34" s="34">
        <v>40</v>
      </c>
      <c r="F34" s="91" t="s">
        <v>61</v>
      </c>
      <c r="G34" s="34">
        <f t="shared" ref="G34" si="20">C34*E34</f>
        <v>4000</v>
      </c>
      <c r="H34" s="164">
        <f>G34*3</f>
        <v>12000</v>
      </c>
      <c r="I34" s="165" t="s">
        <v>61</v>
      </c>
      <c r="J34" s="91"/>
      <c r="K34" s="34">
        <f t="shared" si="18"/>
        <v>144000</v>
      </c>
      <c r="L34" s="34">
        <f t="shared" si="19"/>
        <v>144000</v>
      </c>
      <c r="M34" s="34">
        <f t="shared" si="19"/>
        <v>144000</v>
      </c>
      <c r="O34" s="46"/>
      <c r="P34" s="46"/>
    </row>
    <row r="35" spans="1:17" s="11" customFormat="1" x14ac:dyDescent="0.25">
      <c r="A35" s="91" t="s">
        <v>95</v>
      </c>
      <c r="B35" s="9" t="s">
        <v>93</v>
      </c>
      <c r="C35" s="76">
        <v>100</v>
      </c>
      <c r="D35" s="91" t="s">
        <v>78</v>
      </c>
      <c r="E35" s="34">
        <v>50</v>
      </c>
      <c r="F35" s="76" t="s">
        <v>61</v>
      </c>
      <c r="G35" s="34">
        <f>C35*E35</f>
        <v>5000</v>
      </c>
      <c r="H35" s="164">
        <f>C35*E35</f>
        <v>5000</v>
      </c>
      <c r="I35" s="165" t="s">
        <v>61</v>
      </c>
      <c r="J35" s="76"/>
      <c r="K35" s="34">
        <f t="shared" si="18"/>
        <v>60000</v>
      </c>
      <c r="L35" s="34">
        <f t="shared" ref="L35" si="21">K35</f>
        <v>60000</v>
      </c>
      <c r="M35" s="34">
        <f t="shared" ref="M35" si="22">L35</f>
        <v>60000</v>
      </c>
      <c r="N35" s="66"/>
      <c r="O35" s="52"/>
      <c r="P35" s="52"/>
    </row>
    <row r="36" spans="1:17" s="11" customFormat="1" x14ac:dyDescent="0.25">
      <c r="A36" s="91" t="s">
        <v>103</v>
      </c>
      <c r="B36" s="9" t="s">
        <v>100</v>
      </c>
      <c r="C36" s="76">
        <f>C22*50</f>
        <v>100</v>
      </c>
      <c r="D36" s="91" t="s">
        <v>78</v>
      </c>
      <c r="E36" s="34">
        <v>30</v>
      </c>
      <c r="F36" s="76" t="s">
        <v>61</v>
      </c>
      <c r="G36" s="34">
        <f>C36*E36</f>
        <v>3000</v>
      </c>
      <c r="H36" s="164">
        <f>G36*2</f>
        <v>6000</v>
      </c>
      <c r="I36" s="165" t="s">
        <v>61</v>
      </c>
      <c r="J36" s="76"/>
      <c r="K36" s="34">
        <f t="shared" si="18"/>
        <v>72000</v>
      </c>
      <c r="L36" s="34">
        <f t="shared" ref="L36:L39" si="23">K36</f>
        <v>72000</v>
      </c>
      <c r="M36" s="34">
        <f t="shared" ref="M36:M39" si="24">L36</f>
        <v>72000</v>
      </c>
      <c r="N36" s="66"/>
      <c r="O36" s="52"/>
      <c r="P36" s="52"/>
    </row>
    <row r="37" spans="1:17" s="11" customFormat="1" x14ac:dyDescent="0.25">
      <c r="A37" s="91" t="s">
        <v>104</v>
      </c>
      <c r="B37" s="9" t="s">
        <v>101</v>
      </c>
      <c r="C37" s="76">
        <f>C22*20</f>
        <v>40</v>
      </c>
      <c r="D37" s="76" t="s">
        <v>144</v>
      </c>
      <c r="E37" s="34">
        <v>60</v>
      </c>
      <c r="F37" s="76" t="s">
        <v>61</v>
      </c>
      <c r="G37" s="34">
        <f>C37*E37</f>
        <v>2400</v>
      </c>
      <c r="H37" s="164">
        <f>G37*2</f>
        <v>4800</v>
      </c>
      <c r="I37" s="165" t="s">
        <v>61</v>
      </c>
      <c r="J37" s="76"/>
      <c r="K37" s="34">
        <f t="shared" si="18"/>
        <v>57600</v>
      </c>
      <c r="L37" s="34">
        <f t="shared" si="23"/>
        <v>57600</v>
      </c>
      <c r="M37" s="34">
        <f t="shared" si="24"/>
        <v>57600</v>
      </c>
      <c r="N37" s="66"/>
      <c r="O37" s="52"/>
      <c r="P37" s="52"/>
    </row>
    <row r="38" spans="1:17" s="11" customFormat="1" x14ac:dyDescent="0.25">
      <c r="A38" s="91" t="s">
        <v>105</v>
      </c>
      <c r="B38" s="9" t="s">
        <v>106</v>
      </c>
      <c r="C38" s="76">
        <v>2</v>
      </c>
      <c r="D38" s="91" t="s">
        <v>144</v>
      </c>
      <c r="E38" s="34">
        <v>50</v>
      </c>
      <c r="F38" s="76" t="s">
        <v>61</v>
      </c>
      <c r="G38" s="34">
        <f>C38*E38</f>
        <v>100</v>
      </c>
      <c r="H38" s="164">
        <f>G38*2</f>
        <v>200</v>
      </c>
      <c r="I38" s="165" t="s">
        <v>61</v>
      </c>
      <c r="J38" s="76"/>
      <c r="K38" s="34">
        <f t="shared" si="18"/>
        <v>2400</v>
      </c>
      <c r="L38" s="34">
        <f t="shared" ref="L38" si="25">K38</f>
        <v>2400</v>
      </c>
      <c r="M38" s="34">
        <f t="shared" ref="M38" si="26">L38</f>
        <v>2400</v>
      </c>
      <c r="N38" s="66"/>
      <c r="O38" s="52"/>
      <c r="P38" s="52"/>
    </row>
    <row r="39" spans="1:17" s="11" customFormat="1" x14ac:dyDescent="0.25">
      <c r="A39" s="91" t="s">
        <v>107</v>
      </c>
      <c r="B39" s="9" t="s">
        <v>108</v>
      </c>
      <c r="C39" s="76">
        <v>150</v>
      </c>
      <c r="D39" s="91" t="s">
        <v>143</v>
      </c>
      <c r="E39" s="34">
        <v>10</v>
      </c>
      <c r="F39" s="76" t="s">
        <v>61</v>
      </c>
      <c r="G39" s="34">
        <f>C39*E39</f>
        <v>1500</v>
      </c>
      <c r="H39" s="164">
        <f>C39*E39*2</f>
        <v>3000</v>
      </c>
      <c r="I39" s="165" t="s">
        <v>61</v>
      </c>
      <c r="J39" s="76"/>
      <c r="K39" s="34">
        <f t="shared" si="18"/>
        <v>36000</v>
      </c>
      <c r="L39" s="34">
        <f t="shared" si="23"/>
        <v>36000</v>
      </c>
      <c r="M39" s="34">
        <f t="shared" si="24"/>
        <v>36000</v>
      </c>
      <c r="N39" s="66"/>
      <c r="O39" s="52"/>
      <c r="P39" s="52"/>
    </row>
    <row r="40" spans="1:17" s="11" customFormat="1" x14ac:dyDescent="0.25">
      <c r="A40" s="76"/>
      <c r="B40" s="9"/>
      <c r="C40" s="53"/>
      <c r="D40" s="53"/>
      <c r="E40" s="34"/>
      <c r="F40" s="50"/>
      <c r="G40" s="34"/>
      <c r="H40" s="164"/>
      <c r="I40" s="165"/>
      <c r="J40" s="49"/>
      <c r="K40" s="34"/>
      <c r="L40" s="34">
        <f t="shared" si="19"/>
        <v>0</v>
      </c>
      <c r="M40" s="34"/>
      <c r="N40" s="66"/>
      <c r="O40" s="52"/>
      <c r="P40" s="52"/>
    </row>
    <row r="41" spans="1:17" x14ac:dyDescent="0.25">
      <c r="A41" s="23"/>
      <c r="B41" s="151" t="s">
        <v>160</v>
      </c>
      <c r="C41" s="21"/>
      <c r="D41" s="21"/>
      <c r="E41" s="26"/>
      <c r="F41" s="26"/>
      <c r="G41" s="26"/>
      <c r="H41" s="166"/>
      <c r="I41" s="167"/>
      <c r="J41" s="125"/>
      <c r="K41" s="32"/>
      <c r="L41" s="32"/>
      <c r="M41" s="32"/>
      <c r="N41" s="63"/>
      <c r="O41" s="2"/>
    </row>
    <row r="42" spans="1:17" s="156" customFormat="1" x14ac:dyDescent="0.25">
      <c r="A42" s="168" t="s">
        <v>161</v>
      </c>
      <c r="B42" s="194" t="s">
        <v>162</v>
      </c>
      <c r="C42" s="168">
        <v>1</v>
      </c>
      <c r="D42" s="168" t="s">
        <v>74</v>
      </c>
      <c r="E42" s="170">
        <f>(SUM(G33:G34)-SUM(G16:G19))*0.25</f>
        <v>1210</v>
      </c>
      <c r="F42" s="168" t="s">
        <v>61</v>
      </c>
      <c r="G42" s="170">
        <f>C42*E42*52/12</f>
        <v>5243.333333333333</v>
      </c>
      <c r="H42" s="171"/>
      <c r="I42" s="172" t="s">
        <v>61</v>
      </c>
      <c r="J42" s="195"/>
      <c r="K42" s="170"/>
      <c r="L42" s="170">
        <f>G42*$M$6</f>
        <v>62920</v>
      </c>
      <c r="M42" s="170">
        <f t="shared" ref="M42:M45" si="27">L42</f>
        <v>62920</v>
      </c>
      <c r="N42" s="199" t="s">
        <v>167</v>
      </c>
      <c r="P42" s="173"/>
    </row>
    <row r="43" spans="1:17" s="156" customFormat="1" ht="30" x14ac:dyDescent="0.25">
      <c r="A43" s="168" t="s">
        <v>163</v>
      </c>
      <c r="B43" s="194" t="s">
        <v>170</v>
      </c>
      <c r="C43" s="168">
        <v>1</v>
      </c>
      <c r="D43" s="168" t="s">
        <v>74</v>
      </c>
      <c r="E43" s="170">
        <v>12000</v>
      </c>
      <c r="F43" s="168" t="s">
        <v>61</v>
      </c>
      <c r="G43" s="170">
        <f t="shared" ref="G42:G45" si="28">C43*E43</f>
        <v>12000</v>
      </c>
      <c r="H43" s="171"/>
      <c r="I43" s="172" t="s">
        <v>61</v>
      </c>
      <c r="J43" s="195"/>
      <c r="K43" s="170"/>
      <c r="L43" s="170">
        <f>G43*$M$6</f>
        <v>144000</v>
      </c>
      <c r="M43" s="170">
        <f t="shared" si="27"/>
        <v>144000</v>
      </c>
      <c r="N43" s="196"/>
      <c r="Q43" s="173"/>
    </row>
    <row r="44" spans="1:17" s="197" customFormat="1" x14ac:dyDescent="0.25">
      <c r="A44" s="168" t="s">
        <v>164</v>
      </c>
      <c r="B44" s="194" t="s">
        <v>168</v>
      </c>
      <c r="C44" s="168">
        <v>1</v>
      </c>
      <c r="D44" s="168" t="s">
        <v>74</v>
      </c>
      <c r="E44" s="170">
        <f>(SUM(G35)-SUM(G20:G21))*3</f>
        <v>7350</v>
      </c>
      <c r="F44" s="168" t="s">
        <v>61</v>
      </c>
      <c r="G44" s="170">
        <f t="shared" si="28"/>
        <v>7350</v>
      </c>
      <c r="H44" s="171"/>
      <c r="I44" s="172" t="s">
        <v>61</v>
      </c>
      <c r="J44" s="195"/>
      <c r="K44" s="170"/>
      <c r="L44" s="170">
        <f>G44*$M$6</f>
        <v>88200</v>
      </c>
      <c r="M44" s="170">
        <f t="shared" si="27"/>
        <v>88200</v>
      </c>
      <c r="N44" s="196" t="s">
        <v>171</v>
      </c>
      <c r="P44" s="173"/>
      <c r="Q44" s="198"/>
    </row>
    <row r="45" spans="1:17" s="156" customFormat="1" x14ac:dyDescent="0.25">
      <c r="A45" s="168" t="s">
        <v>165</v>
      </c>
      <c r="B45" s="194" t="s">
        <v>169</v>
      </c>
      <c r="C45" s="168">
        <v>1</v>
      </c>
      <c r="D45" s="168" t="s">
        <v>74</v>
      </c>
      <c r="E45" s="170">
        <v>25000</v>
      </c>
      <c r="F45" s="168" t="s">
        <v>61</v>
      </c>
      <c r="G45" s="170">
        <f t="shared" si="28"/>
        <v>25000</v>
      </c>
      <c r="H45" s="171"/>
      <c r="I45" s="172" t="s">
        <v>61</v>
      </c>
      <c r="J45" s="195"/>
      <c r="K45" s="170"/>
      <c r="L45" s="170">
        <f>G45*$M$6</f>
        <v>300000</v>
      </c>
      <c r="M45" s="170">
        <f t="shared" si="27"/>
        <v>300000</v>
      </c>
      <c r="N45" s="196" t="s">
        <v>172</v>
      </c>
      <c r="Q45" s="173"/>
    </row>
    <row r="46" spans="1:17" s="156" customFormat="1" x14ac:dyDescent="0.25">
      <c r="A46" s="168" t="s">
        <v>180</v>
      </c>
      <c r="B46" s="194" t="s">
        <v>166</v>
      </c>
      <c r="C46" s="168">
        <v>1</v>
      </c>
      <c r="D46" s="168" t="s">
        <v>74</v>
      </c>
      <c r="E46" s="170">
        <v>12000</v>
      </c>
      <c r="F46" s="168" t="s">
        <v>61</v>
      </c>
      <c r="G46" s="170">
        <f t="shared" ref="G46" si="29">C46*E46</f>
        <v>12000</v>
      </c>
      <c r="H46" s="171"/>
      <c r="I46" s="172" t="s">
        <v>61</v>
      </c>
      <c r="J46" s="195"/>
      <c r="K46" s="170"/>
      <c r="L46" s="170"/>
      <c r="M46" s="170">
        <f>G46*$M$6</f>
        <v>144000</v>
      </c>
      <c r="N46" s="196"/>
      <c r="Q46" s="173"/>
    </row>
    <row r="47" spans="1:17" x14ac:dyDescent="0.25">
      <c r="A47" s="10"/>
      <c r="C47" s="10"/>
      <c r="D47" s="10"/>
      <c r="E47" s="10"/>
      <c r="F47" s="10"/>
      <c r="G47" s="10"/>
      <c r="H47" s="183"/>
      <c r="I47" s="184"/>
      <c r="J47" s="10"/>
      <c r="K47" s="34"/>
      <c r="L47" s="34"/>
      <c r="M47" s="34"/>
    </row>
    <row r="48" spans="1:17" s="7" customFormat="1" x14ac:dyDescent="0.25">
      <c r="A48" s="27" t="s">
        <v>12</v>
      </c>
      <c r="B48" s="126" t="s">
        <v>0</v>
      </c>
      <c r="C48" s="126"/>
      <c r="D48" s="126"/>
      <c r="E48" s="126"/>
      <c r="F48" s="126"/>
      <c r="G48" s="33"/>
      <c r="H48" s="179">
        <f>SUM(H33:H47)</f>
        <v>48280</v>
      </c>
      <c r="I48" s="180"/>
      <c r="J48" s="8"/>
      <c r="K48" s="33">
        <f>SUM(K33:K47)</f>
        <v>579360</v>
      </c>
      <c r="L48" s="33">
        <f>SUM(L33:L47)</f>
        <v>1174480</v>
      </c>
      <c r="M48" s="33">
        <f>SUM(M33:M47)</f>
        <v>1318480</v>
      </c>
      <c r="N48" s="64"/>
    </row>
    <row r="49" spans="1:16" x14ac:dyDescent="0.25">
      <c r="H49" s="181"/>
      <c r="I49" s="182"/>
      <c r="J49" s="10"/>
    </row>
    <row r="50" spans="1:16" ht="18.75" x14ac:dyDescent="0.25">
      <c r="A50" s="127" t="s">
        <v>40</v>
      </c>
      <c r="B50" s="127"/>
      <c r="C50" s="127"/>
      <c r="D50" s="127"/>
      <c r="E50" s="127"/>
      <c r="F50" s="127"/>
      <c r="G50" s="127"/>
      <c r="H50" s="191" t="s">
        <v>158</v>
      </c>
      <c r="I50" s="192"/>
      <c r="J50" s="10"/>
      <c r="K50" s="36" t="s">
        <v>47</v>
      </c>
      <c r="L50" s="36" t="s">
        <v>46</v>
      </c>
      <c r="M50" s="36" t="s">
        <v>48</v>
      </c>
      <c r="N50" s="69"/>
    </row>
    <row r="51" spans="1:16" x14ac:dyDescent="0.25">
      <c r="A51" s="8" t="s">
        <v>7</v>
      </c>
      <c r="B51" s="140" t="s">
        <v>21</v>
      </c>
      <c r="C51" s="140"/>
      <c r="D51" s="140"/>
      <c r="E51" s="140"/>
      <c r="F51" s="140"/>
      <c r="G51" s="34"/>
      <c r="H51" s="164">
        <f>H29</f>
        <v>32010</v>
      </c>
      <c r="I51" s="165" t="s">
        <v>61</v>
      </c>
      <c r="J51" s="10"/>
      <c r="K51" s="34">
        <f>K29</f>
        <v>384120</v>
      </c>
      <c r="L51" s="34">
        <f>L29</f>
        <v>398520</v>
      </c>
      <c r="M51" s="34">
        <f>M29</f>
        <v>398520</v>
      </c>
    </row>
    <row r="52" spans="1:16" x14ac:dyDescent="0.25">
      <c r="A52" s="8" t="s">
        <v>12</v>
      </c>
      <c r="B52" s="140" t="s">
        <v>41</v>
      </c>
      <c r="C52" s="140"/>
      <c r="D52" s="140"/>
      <c r="E52" s="140"/>
      <c r="F52" s="140"/>
      <c r="G52" s="34"/>
      <c r="H52" s="164">
        <f>H48</f>
        <v>48280</v>
      </c>
      <c r="I52" s="165" t="s">
        <v>61</v>
      </c>
      <c r="J52" s="10"/>
      <c r="K52" s="34">
        <f>K48</f>
        <v>579360</v>
      </c>
      <c r="L52" s="34">
        <f>L48</f>
        <v>1174480</v>
      </c>
      <c r="M52" s="34">
        <f>M48</f>
        <v>1318480</v>
      </c>
    </row>
    <row r="53" spans="1:16" s="7" customFormat="1" x14ac:dyDescent="0.25">
      <c r="A53" s="22"/>
      <c r="B53" s="139" t="s">
        <v>57</v>
      </c>
      <c r="C53" s="139"/>
      <c r="D53" s="139"/>
      <c r="E53" s="139"/>
      <c r="F53" s="139"/>
      <c r="G53" s="33"/>
      <c r="H53" s="179">
        <f>H52-H51</f>
        <v>16270</v>
      </c>
      <c r="I53" s="180" t="s">
        <v>61</v>
      </c>
      <c r="J53" s="8"/>
      <c r="K53" s="33">
        <f>K52-K51</f>
        <v>195240</v>
      </c>
      <c r="L53" s="33">
        <f>L52-L51</f>
        <v>775960</v>
      </c>
      <c r="M53" s="33">
        <f>M52-M51</f>
        <v>919960</v>
      </c>
      <c r="N53" s="64"/>
    </row>
    <row r="54" spans="1:16" x14ac:dyDescent="0.25">
      <c r="A54" s="44" t="s">
        <v>9</v>
      </c>
      <c r="B54" s="141" t="s">
        <v>22</v>
      </c>
      <c r="C54" s="141"/>
      <c r="D54" s="141"/>
      <c r="E54" s="141"/>
      <c r="F54" s="141"/>
      <c r="G54" s="45"/>
      <c r="H54" s="185"/>
      <c r="I54" s="186"/>
      <c r="J54" s="10"/>
      <c r="K54" s="34"/>
      <c r="L54" s="45">
        <f>'Info general'!H22</f>
        <v>11965</v>
      </c>
      <c r="M54" s="45">
        <f>'Info general'!H22</f>
        <v>11965</v>
      </c>
      <c r="N54" s="70"/>
    </row>
    <row r="55" spans="1:16" s="7" customFormat="1" ht="15.75" thickBot="1" x14ac:dyDescent="0.3">
      <c r="A55" s="22"/>
      <c r="B55" s="139" t="s">
        <v>58</v>
      </c>
      <c r="C55" s="139"/>
      <c r="D55" s="139"/>
      <c r="E55" s="139"/>
      <c r="F55" s="139"/>
      <c r="G55" s="33"/>
      <c r="H55" s="187">
        <f>H53-H54</f>
        <v>16270</v>
      </c>
      <c r="I55" s="188" t="s">
        <v>61</v>
      </c>
      <c r="J55" s="8"/>
      <c r="K55" s="33">
        <f>K53-K54</f>
        <v>195240</v>
      </c>
      <c r="L55" s="33">
        <f t="shared" ref="L55:M55" si="30">L53-L54</f>
        <v>763995</v>
      </c>
      <c r="M55" s="33">
        <f t="shared" si="30"/>
        <v>907995</v>
      </c>
      <c r="N55" s="64"/>
    </row>
    <row r="56" spans="1:16" x14ac:dyDescent="0.25">
      <c r="A56" s="3"/>
      <c r="B56" s="3"/>
      <c r="C56" s="3"/>
      <c r="D56" s="3"/>
      <c r="E56" s="3"/>
      <c r="J56" s="10"/>
    </row>
    <row r="57" spans="1:16" ht="15.75" thickBot="1" x14ac:dyDescent="0.3">
      <c r="H57" s="46"/>
      <c r="I57" s="46"/>
      <c r="J57" s="10"/>
    </row>
    <row r="58" spans="1:16" s="207" customFormat="1" ht="15.75" x14ac:dyDescent="0.25">
      <c r="A58" s="200" t="s">
        <v>173</v>
      </c>
      <c r="B58" s="201"/>
      <c r="C58" s="201"/>
      <c r="D58" s="201"/>
      <c r="E58" s="201"/>
      <c r="F58" s="201"/>
      <c r="G58" s="201"/>
      <c r="H58" s="200" t="s">
        <v>174</v>
      </c>
      <c r="I58" s="202"/>
      <c r="J58" s="203"/>
      <c r="K58" s="204" t="s">
        <v>47</v>
      </c>
      <c r="L58" s="205" t="s">
        <v>46</v>
      </c>
      <c r="M58" s="206" t="s">
        <v>48</v>
      </c>
      <c r="N58" s="66"/>
    </row>
    <row r="59" spans="1:16" x14ac:dyDescent="0.25">
      <c r="A59" s="208" t="s">
        <v>9</v>
      </c>
      <c r="B59" s="209" t="s">
        <v>175</v>
      </c>
      <c r="C59" s="209"/>
      <c r="D59" s="209"/>
      <c r="E59" s="209"/>
      <c r="F59" s="209"/>
      <c r="G59" s="210"/>
      <c r="H59" s="211"/>
      <c r="I59" s="212"/>
      <c r="J59" s="213"/>
      <c r="K59" s="211">
        <f>+'Info general'!F22</f>
        <v>67650</v>
      </c>
      <c r="L59" s="210">
        <f>+'Info general'!F29</f>
        <v>11000</v>
      </c>
      <c r="M59" s="212">
        <v>0</v>
      </c>
    </row>
    <row r="60" spans="1:16" x14ac:dyDescent="0.25">
      <c r="A60" s="208" t="s">
        <v>9</v>
      </c>
      <c r="B60" s="209" t="s">
        <v>22</v>
      </c>
      <c r="C60" s="209"/>
      <c r="D60" s="209"/>
      <c r="E60" s="209"/>
      <c r="F60" s="209"/>
      <c r="G60" s="210"/>
      <c r="H60" s="211"/>
      <c r="I60" s="212"/>
      <c r="J60" s="213"/>
      <c r="K60" s="211"/>
      <c r="L60" s="210">
        <f>+'Info general'!H22</f>
        <v>11965</v>
      </c>
      <c r="M60" s="212">
        <f>+'Info general'!H22+'Info general'!H29</f>
        <v>13065</v>
      </c>
      <c r="P60" s="46"/>
    </row>
    <row r="61" spans="1:16" x14ac:dyDescent="0.25">
      <c r="A61" s="208" t="s">
        <v>7</v>
      </c>
      <c r="B61" s="209" t="s">
        <v>176</v>
      </c>
      <c r="C61" s="209"/>
      <c r="D61" s="209"/>
      <c r="E61" s="209"/>
      <c r="F61" s="209"/>
      <c r="G61" s="210"/>
      <c r="H61" s="211">
        <f>+SUM(H11:H14)+H27</f>
        <v>2250</v>
      </c>
      <c r="I61" s="212" t="s">
        <v>61</v>
      </c>
      <c r="J61" s="213"/>
      <c r="K61" s="211">
        <f>+SUM(K11:K14)+K27</f>
        <v>27000</v>
      </c>
      <c r="L61" s="210">
        <f t="shared" ref="L61:M61" si="31">+SUM(L11:L14)+L27</f>
        <v>41400</v>
      </c>
      <c r="M61" s="212">
        <f t="shared" si="31"/>
        <v>41400</v>
      </c>
      <c r="P61" s="46"/>
    </row>
    <row r="62" spans="1:16" x14ac:dyDescent="0.25">
      <c r="A62" s="208" t="s">
        <v>7</v>
      </c>
      <c r="B62" s="209" t="s">
        <v>177</v>
      </c>
      <c r="C62" s="209"/>
      <c r="D62" s="209"/>
      <c r="E62" s="209"/>
      <c r="F62" s="209"/>
      <c r="G62" s="210"/>
      <c r="H62" s="211">
        <f>H29-H61</f>
        <v>29760</v>
      </c>
      <c r="I62" s="212" t="s">
        <v>61</v>
      </c>
      <c r="J62" s="213"/>
      <c r="K62" s="211">
        <f t="shared" ref="K62:M62" si="32">K29-K61</f>
        <v>357120</v>
      </c>
      <c r="L62" s="210">
        <f t="shared" si="32"/>
        <v>357120</v>
      </c>
      <c r="M62" s="212">
        <f t="shared" si="32"/>
        <v>357120</v>
      </c>
      <c r="P62" s="46"/>
    </row>
    <row r="63" spans="1:16" x14ac:dyDescent="0.25">
      <c r="A63" s="208" t="s">
        <v>12</v>
      </c>
      <c r="B63" s="209" t="s">
        <v>178</v>
      </c>
      <c r="C63" s="209"/>
      <c r="D63" s="209"/>
      <c r="E63" s="209"/>
      <c r="F63" s="209"/>
      <c r="G63" s="210"/>
      <c r="H63" s="211">
        <f>H48</f>
        <v>48280</v>
      </c>
      <c r="I63" s="212" t="s">
        <v>61</v>
      </c>
      <c r="J63" s="213"/>
      <c r="K63" s="211">
        <f t="shared" ref="K63:M63" si="33">K48</f>
        <v>579360</v>
      </c>
      <c r="L63" s="210">
        <f t="shared" si="33"/>
        <v>1174480</v>
      </c>
      <c r="M63" s="212">
        <f t="shared" si="33"/>
        <v>1318480</v>
      </c>
      <c r="P63" s="46"/>
    </row>
    <row r="64" spans="1:16" s="220" customFormat="1" ht="16.5" thickBot="1" x14ac:dyDescent="0.3">
      <c r="A64" s="214"/>
      <c r="B64" s="215" t="s">
        <v>58</v>
      </c>
      <c r="C64" s="215"/>
      <c r="D64" s="215"/>
      <c r="E64" s="215"/>
      <c r="F64" s="215"/>
      <c r="G64" s="216"/>
      <c r="H64" s="217">
        <f>H63-H62-H61</f>
        <v>16270</v>
      </c>
      <c r="I64" s="218" t="s">
        <v>61</v>
      </c>
      <c r="J64" s="219"/>
      <c r="K64" s="217">
        <f t="shared" ref="K64" si="34">K63-K62-K61</f>
        <v>195240</v>
      </c>
      <c r="L64" s="216">
        <f>L63-L62-L61-L60-L59</f>
        <v>752995</v>
      </c>
      <c r="M64" s="218">
        <f>M63-M62-M61-M60-M59</f>
        <v>906895</v>
      </c>
      <c r="N64" s="66"/>
      <c r="P64" s="221"/>
    </row>
    <row r="65" spans="1:10" x14ac:dyDescent="0.25">
      <c r="J65" s="10"/>
    </row>
    <row r="66" spans="1:10" x14ac:dyDescent="0.25">
      <c r="J66" s="10"/>
    </row>
    <row r="67" spans="1:10" x14ac:dyDescent="0.25">
      <c r="J67" s="10"/>
    </row>
    <row r="68" spans="1:10" x14ac:dyDescent="0.25">
      <c r="J68" s="10"/>
    </row>
    <row r="69" spans="1:10" x14ac:dyDescent="0.25">
      <c r="A69" s="11"/>
      <c r="B69" s="11"/>
      <c r="J69" s="10"/>
    </row>
    <row r="70" spans="1:10" x14ac:dyDescent="0.25">
      <c r="A70" s="11"/>
      <c r="B70" s="11"/>
      <c r="J70" s="10"/>
    </row>
    <row r="71" spans="1:10" x14ac:dyDescent="0.25">
      <c r="A71" s="11"/>
      <c r="B71" s="11"/>
      <c r="J71" s="10"/>
    </row>
    <row r="72" spans="1:10" x14ac:dyDescent="0.25">
      <c r="A72" s="11"/>
      <c r="B72" s="11"/>
      <c r="J72" s="10"/>
    </row>
    <row r="73" spans="1:10" x14ac:dyDescent="0.25">
      <c r="A73" s="11"/>
      <c r="B73" s="11"/>
      <c r="J73" s="10"/>
    </row>
    <row r="74" spans="1:10" x14ac:dyDescent="0.25">
      <c r="B74" s="11"/>
      <c r="J74" s="10"/>
    </row>
    <row r="75" spans="1:10" x14ac:dyDescent="0.25">
      <c r="J75" s="10"/>
    </row>
    <row r="76" spans="1:10" x14ac:dyDescent="0.25">
      <c r="J76" s="10"/>
    </row>
    <row r="77" spans="1:10" x14ac:dyDescent="0.25">
      <c r="J77" s="10"/>
    </row>
    <row r="78" spans="1:10" x14ac:dyDescent="0.25">
      <c r="J78" s="10"/>
    </row>
    <row r="79" spans="1:10" x14ac:dyDescent="0.25">
      <c r="J79" s="10"/>
    </row>
    <row r="80" spans="1:10" x14ac:dyDescent="0.25">
      <c r="J80" s="10"/>
    </row>
    <row r="81" spans="10:10" x14ac:dyDescent="0.25">
      <c r="J81" s="10"/>
    </row>
  </sheetData>
  <mergeCells count="24">
    <mergeCell ref="B64:F64"/>
    <mergeCell ref="B59:F59"/>
    <mergeCell ref="B60:F60"/>
    <mergeCell ref="B61:F61"/>
    <mergeCell ref="B62:F62"/>
    <mergeCell ref="B63:F63"/>
    <mergeCell ref="H8:I8"/>
    <mergeCell ref="H31:I31"/>
    <mergeCell ref="H50:I50"/>
    <mergeCell ref="A4:N4"/>
    <mergeCell ref="A58:G58"/>
    <mergeCell ref="H58:I58"/>
    <mergeCell ref="B48:F48"/>
    <mergeCell ref="A6:E6"/>
    <mergeCell ref="F6:G6"/>
    <mergeCell ref="A8:G8"/>
    <mergeCell ref="B29:F29"/>
    <mergeCell ref="A31:G31"/>
    <mergeCell ref="B55:F55"/>
    <mergeCell ref="A50:G50"/>
    <mergeCell ref="B51:F51"/>
    <mergeCell ref="B52:F52"/>
    <mergeCell ref="B53:F53"/>
    <mergeCell ref="B54:F54"/>
  </mergeCells>
  <pageMargins left="0.70866141732283472" right="0.70866141732283472" top="0.74803149606299213" bottom="0.74803149606299213" header="0.31496062992125984" footer="0.31496062992125984"/>
  <pageSetup paperSize="9" scale="76"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'Info general'!$J$7:$J$15</xm:f>
          </x14:formula1>
          <xm:sqref>F6:G6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04B9-505B-40E5-B573-F79980E4C3AB}">
  <sheetPr>
    <pageSetUpPr fitToPage="1"/>
  </sheetPr>
  <dimension ref="A1:I71"/>
  <sheetViews>
    <sheetView zoomScale="85" zoomScaleNormal="85" workbookViewId="0">
      <selection activeCell="D27" sqref="D27"/>
    </sheetView>
  </sheetViews>
  <sheetFormatPr baseColWidth="10" defaultColWidth="10.85546875" defaultRowHeight="15" x14ac:dyDescent="0.25"/>
  <cols>
    <col min="1" max="1" width="46.5703125" style="102" customWidth="1"/>
    <col min="2" max="5" width="15.7109375" style="9" customWidth="1"/>
    <col min="6" max="6" width="31.42578125" style="58" customWidth="1"/>
    <col min="7" max="7" width="19.7109375" style="9" customWidth="1"/>
    <col min="8" max="16384" width="10.85546875" style="9"/>
  </cols>
  <sheetData>
    <row r="1" spans="1:8" ht="28.5" x14ac:dyDescent="0.25">
      <c r="A1" s="28" t="s">
        <v>117</v>
      </c>
      <c r="B1" s="5"/>
      <c r="C1" s="5"/>
      <c r="E1" s="91"/>
    </row>
    <row r="2" spans="1:8" x14ac:dyDescent="0.25">
      <c r="A2" s="1"/>
      <c r="B2" s="5"/>
      <c r="C2" s="5"/>
      <c r="E2" s="91"/>
    </row>
    <row r="3" spans="1:8" ht="18.75" x14ac:dyDescent="0.25">
      <c r="A3" s="29" t="s">
        <v>97</v>
      </c>
      <c r="E3" s="91"/>
    </row>
    <row r="4" spans="1:8" x14ac:dyDescent="0.25">
      <c r="A4" s="92"/>
      <c r="E4" s="91"/>
    </row>
    <row r="5" spans="1:8" ht="18.75" customHeight="1" x14ac:dyDescent="0.25">
      <c r="A5" s="93" t="s">
        <v>118</v>
      </c>
      <c r="B5" s="93"/>
      <c r="C5" s="93"/>
      <c r="D5" s="93"/>
      <c r="E5" s="93"/>
      <c r="F5" s="61"/>
      <c r="G5" s="40"/>
      <c r="H5" s="2"/>
    </row>
    <row r="6" spans="1:8" ht="18.75" customHeight="1" x14ac:dyDescent="0.25">
      <c r="A6" s="94"/>
      <c r="B6" s="14"/>
      <c r="C6" s="14"/>
      <c r="D6" s="14"/>
      <c r="E6" s="14"/>
      <c r="F6" s="59"/>
      <c r="G6" s="40"/>
      <c r="H6" s="2"/>
    </row>
    <row r="7" spans="1:8" ht="48.75" customHeight="1" x14ac:dyDescent="0.25">
      <c r="A7" s="95" t="s">
        <v>98</v>
      </c>
      <c r="B7" s="142" t="str">
        <f>'Info general'!C7</f>
        <v>Boutique de vente de poisson, légumes et denrées alimentaires de base, avec congélateur solaire. L’activité se complémente avec la production et commercialisation de couscous (transformation de blé).</v>
      </c>
      <c r="C7" s="143"/>
      <c r="D7" s="143"/>
      <c r="E7" s="143"/>
      <c r="F7" s="144"/>
      <c r="G7" s="40"/>
    </row>
    <row r="8" spans="1:8" ht="18" customHeight="1" x14ac:dyDescent="0.25">
      <c r="A8" s="95" t="s">
        <v>119</v>
      </c>
      <c r="B8" s="145" t="str">
        <f>'Info general'!C8</f>
        <v>Club de mères - Ghabra</v>
      </c>
      <c r="C8" s="146"/>
      <c r="D8" s="146"/>
      <c r="E8" s="146"/>
      <c r="F8" s="147"/>
      <c r="G8" s="40"/>
    </row>
    <row r="9" spans="1:8" s="3" customFormat="1" x14ac:dyDescent="0.25">
      <c r="A9" s="96" t="s">
        <v>26</v>
      </c>
      <c r="B9" s="78">
        <v>85000</v>
      </c>
      <c r="C9" s="97"/>
      <c r="D9" s="31"/>
      <c r="E9" s="31"/>
      <c r="F9" s="13"/>
      <c r="G9" s="40"/>
    </row>
    <row r="10" spans="1:8" s="3" customFormat="1" ht="15.75" x14ac:dyDescent="0.25">
      <c r="A10" s="98"/>
      <c r="B10" s="79"/>
      <c r="C10" s="79"/>
      <c r="D10" s="79"/>
      <c r="E10" s="79"/>
      <c r="F10" s="79"/>
      <c r="G10" s="40"/>
    </row>
    <row r="11" spans="1:8" ht="18.75" x14ac:dyDescent="0.25">
      <c r="A11" s="99" t="s">
        <v>120</v>
      </c>
      <c r="B11" s="90"/>
      <c r="C11" s="90"/>
      <c r="D11" s="90"/>
      <c r="E11" s="90"/>
      <c r="F11" s="61"/>
      <c r="G11" s="39"/>
    </row>
    <row r="12" spans="1:8" ht="14.45" customHeight="1" x14ac:dyDescent="0.25">
      <c r="A12" s="100" t="s">
        <v>2</v>
      </c>
      <c r="B12" s="6" t="s">
        <v>39</v>
      </c>
      <c r="C12" s="6" t="s">
        <v>3</v>
      </c>
      <c r="D12" s="6" t="s">
        <v>121</v>
      </c>
      <c r="E12" s="6" t="s">
        <v>122</v>
      </c>
      <c r="F12" s="101" t="s">
        <v>123</v>
      </c>
    </row>
    <row r="13" spans="1:8" x14ac:dyDescent="0.25">
      <c r="A13" s="102" t="str">
        <f>'Info general'!B16</f>
        <v>Thermos 48 kg</v>
      </c>
      <c r="B13" s="91">
        <f>'Info general'!C16</f>
        <v>2</v>
      </c>
      <c r="C13" s="91" t="s">
        <v>124</v>
      </c>
      <c r="D13" s="34">
        <f>'Info general'!E16</f>
        <v>3500</v>
      </c>
      <c r="E13" s="34">
        <f t="shared" ref="E13" si="0">B13*D13</f>
        <v>7000</v>
      </c>
      <c r="F13" s="103" t="s">
        <v>125</v>
      </c>
    </row>
    <row r="14" spans="1:8" x14ac:dyDescent="0.25">
      <c r="A14" s="102" t="str">
        <f>'Info general'!B17</f>
        <v>Amenagement boutique (tapis, hygiène, etc.)</v>
      </c>
      <c r="B14" s="91">
        <f>'Info general'!C17</f>
        <v>1</v>
      </c>
      <c r="C14" s="91" t="s">
        <v>124</v>
      </c>
      <c r="D14" s="34">
        <f>'Info general'!E17</f>
        <v>1900</v>
      </c>
      <c r="E14" s="34">
        <f t="shared" ref="E14:E17" si="1">B14*D14</f>
        <v>1900</v>
      </c>
      <c r="F14" s="103" t="s">
        <v>125</v>
      </c>
    </row>
    <row r="15" spans="1:8" x14ac:dyDescent="0.25">
      <c r="A15" s="102" t="str">
        <f>'Info general'!B18</f>
        <v>Equipment (balance, 3 rallonges)</v>
      </c>
      <c r="B15" s="91">
        <f>'Info general'!C18</f>
        <v>1</v>
      </c>
      <c r="C15" s="91" t="s">
        <v>124</v>
      </c>
      <c r="D15" s="34">
        <f>'Info general'!E18</f>
        <v>2750</v>
      </c>
      <c r="E15" s="34">
        <f t="shared" si="1"/>
        <v>2750</v>
      </c>
      <c r="F15" s="103" t="s">
        <v>125</v>
      </c>
    </row>
    <row r="16" spans="1:8" ht="30" x14ac:dyDescent="0.25">
      <c r="A16" s="102" t="str">
        <f>'Info general'!B19</f>
        <v>Congelateur solaire 208 litres, avec panneaux, installation et transport</v>
      </c>
      <c r="B16" s="91">
        <f>'Info general'!C19</f>
        <v>1</v>
      </c>
      <c r="C16" s="91" t="s">
        <v>124</v>
      </c>
      <c r="D16" s="34">
        <f>'Info general'!E19</f>
        <v>54000</v>
      </c>
      <c r="E16" s="34">
        <f t="shared" si="1"/>
        <v>54000</v>
      </c>
      <c r="F16" s="103" t="s">
        <v>125</v>
      </c>
    </row>
    <row r="17" spans="1:7" ht="30" x14ac:dyDescent="0.25">
      <c r="A17" s="102" t="str">
        <f>'Info general'!B20</f>
        <v>Forfait demarrage (transport materiels, visites fournisseurs, etc.)</v>
      </c>
      <c r="B17" s="91">
        <f>'Info general'!C20</f>
        <v>1</v>
      </c>
      <c r="C17" s="91" t="s">
        <v>124</v>
      </c>
      <c r="D17" s="34">
        <f>'Info general'!E20</f>
        <v>2000</v>
      </c>
      <c r="E17" s="34">
        <f t="shared" si="1"/>
        <v>2000</v>
      </c>
      <c r="F17" s="103" t="s">
        <v>125</v>
      </c>
    </row>
    <row r="18" spans="1:7" x14ac:dyDescent="0.25">
      <c r="A18" s="104"/>
      <c r="B18" s="51"/>
      <c r="C18" s="91"/>
      <c r="D18" s="34"/>
      <c r="E18" s="34"/>
      <c r="F18" s="66"/>
      <c r="G18" s="2"/>
    </row>
    <row r="19" spans="1:7" s="109" customFormat="1" ht="15.75" x14ac:dyDescent="0.25">
      <c r="A19" s="105" t="s">
        <v>126</v>
      </c>
      <c r="B19" s="106"/>
      <c r="C19" s="106"/>
      <c r="D19" s="106"/>
      <c r="E19" s="107">
        <f>SUM(E13:E18)</f>
        <v>67650</v>
      </c>
      <c r="F19" s="108" t="s">
        <v>61</v>
      </c>
    </row>
    <row r="20" spans="1:7" s="81" customFormat="1" x14ac:dyDescent="0.25">
      <c r="A20" s="80"/>
      <c r="B20" s="91"/>
      <c r="D20" s="82"/>
      <c r="E20" s="82"/>
      <c r="F20" s="110"/>
    </row>
    <row r="21" spans="1:7" ht="18.75" x14ac:dyDescent="0.25">
      <c r="A21" s="99" t="s">
        <v>127</v>
      </c>
      <c r="B21" s="90"/>
      <c r="C21" s="90"/>
      <c r="D21" s="90"/>
      <c r="E21" s="90"/>
      <c r="F21" s="61"/>
      <c r="G21" s="39"/>
    </row>
    <row r="22" spans="1:7" ht="14.45" customHeight="1" x14ac:dyDescent="0.25">
      <c r="A22" s="100" t="s">
        <v>23</v>
      </c>
      <c r="B22" s="6" t="s">
        <v>39</v>
      </c>
      <c r="C22" s="6" t="s">
        <v>3</v>
      </c>
      <c r="D22" s="6" t="s">
        <v>121</v>
      </c>
      <c r="E22" s="6" t="s">
        <v>122</v>
      </c>
      <c r="F22" s="101" t="s">
        <v>123</v>
      </c>
    </row>
    <row r="23" spans="1:7" x14ac:dyDescent="0.25">
      <c r="A23" s="111" t="s">
        <v>5</v>
      </c>
      <c r="B23" s="21"/>
      <c r="C23" s="21"/>
      <c r="D23" s="26"/>
      <c r="E23" s="112">
        <f>SUM(E24:E24)</f>
        <v>2000</v>
      </c>
      <c r="F23" s="113" t="s">
        <v>112</v>
      </c>
      <c r="G23" s="2"/>
    </row>
    <row r="24" spans="1:7" x14ac:dyDescent="0.25">
      <c r="A24" s="102" t="str">
        <f>'Plan economique (PAS)'!B11</f>
        <v>Location boutique aménagée</v>
      </c>
      <c r="B24" s="91">
        <f>'Plan economique (PAS)'!C11</f>
        <v>1</v>
      </c>
      <c r="C24" s="91" t="str">
        <f>'Plan economique (PAS)'!D11</f>
        <v>Location</v>
      </c>
      <c r="D24" s="34">
        <f>'Plan economique (PAS)'!E11</f>
        <v>2000</v>
      </c>
      <c r="E24" s="34">
        <f>B24*D24</f>
        <v>2000</v>
      </c>
      <c r="F24" s="103" t="s">
        <v>112</v>
      </c>
    </row>
    <row r="25" spans="1:7" x14ac:dyDescent="0.25">
      <c r="B25" s="91"/>
      <c r="C25" s="91"/>
      <c r="D25" s="34"/>
      <c r="E25" s="34"/>
      <c r="F25" s="66"/>
      <c r="G25" s="31"/>
    </row>
    <row r="26" spans="1:7" x14ac:dyDescent="0.25">
      <c r="A26" s="24" t="s">
        <v>138</v>
      </c>
      <c r="B26" s="21"/>
      <c r="C26" s="21"/>
      <c r="D26" s="26"/>
      <c r="E26" s="112">
        <f>SUM(E27:E30)</f>
        <v>4820</v>
      </c>
      <c r="F26" s="114" t="s">
        <v>128</v>
      </c>
    </row>
    <row r="27" spans="1:7" x14ac:dyDescent="0.25">
      <c r="A27" s="102" t="str">
        <f>'Plan economique (PAS)'!B16</f>
        <v>Poisson (y compris la glace)</v>
      </c>
      <c r="B27" s="91">
        <f>'Plan economique (PAS)'!C16</f>
        <v>96</v>
      </c>
      <c r="C27" s="91" t="str">
        <f>'Plan economique (PAS)'!D16</f>
        <v>kg</v>
      </c>
      <c r="D27" s="34">
        <f>'Plan economique (PAS)'!E16</f>
        <v>20</v>
      </c>
      <c r="E27" s="34">
        <f>B27*D27</f>
        <v>1920</v>
      </c>
      <c r="F27" s="103" t="s">
        <v>128</v>
      </c>
    </row>
    <row r="28" spans="1:7" x14ac:dyDescent="0.25">
      <c r="A28" s="102" t="str">
        <f>'Plan economique (PAS)'!B17</f>
        <v>Légumes</v>
      </c>
      <c r="B28" s="91">
        <f>'Plan economique (PAS)'!C17</f>
        <v>100</v>
      </c>
      <c r="C28" s="91" t="str">
        <f>'Plan economique (PAS)'!D17</f>
        <v>kg</v>
      </c>
      <c r="D28" s="34">
        <f>'Plan economique (PAS)'!E17</f>
        <v>20</v>
      </c>
      <c r="E28" s="34">
        <f t="shared" ref="E28:E29" si="2">B28*D28</f>
        <v>2000</v>
      </c>
      <c r="F28" s="103" t="s">
        <v>128</v>
      </c>
    </row>
    <row r="29" spans="1:7" x14ac:dyDescent="0.25">
      <c r="A29" s="102" t="str">
        <f>'Plan economique (PAS)'!B18</f>
        <v>Transport poisson et légumes</v>
      </c>
      <c r="B29" s="91">
        <f>'Plan economique (PAS)'!C18</f>
        <v>1</v>
      </c>
      <c r="C29" s="91" t="str">
        <f>'Plan economique (PAS)'!D18</f>
        <v>transport</v>
      </c>
      <c r="D29" s="34">
        <f>'Plan economique (PAS)'!E18</f>
        <v>900</v>
      </c>
      <c r="E29" s="34">
        <f t="shared" si="2"/>
        <v>900</v>
      </c>
      <c r="F29" s="103" t="s">
        <v>128</v>
      </c>
    </row>
    <row r="30" spans="1:7" x14ac:dyDescent="0.25">
      <c r="B30" s="91"/>
      <c r="C30" s="91"/>
      <c r="D30" s="34"/>
      <c r="E30" s="34"/>
      <c r="F30" s="103"/>
    </row>
    <row r="31" spans="1:7" x14ac:dyDescent="0.25">
      <c r="A31" s="24" t="s">
        <v>146</v>
      </c>
      <c r="B31" s="21"/>
      <c r="C31" s="21"/>
      <c r="D31" s="26"/>
      <c r="E31" s="112">
        <f>SUM(E32:E33)</f>
        <v>2450</v>
      </c>
      <c r="F31" s="114" t="s">
        <v>128</v>
      </c>
    </row>
    <row r="32" spans="1:7" ht="30" x14ac:dyDescent="0.25">
      <c r="A32" s="102" t="str">
        <f>'Plan economique (PAS)'!B20</f>
        <v>Couscous, matière première (blé, farine, charbon, etc.) pour 100 kg</v>
      </c>
      <c r="B32" s="91">
        <f>'Plan economique (PAS)'!C20</f>
        <v>1</v>
      </c>
      <c r="C32" s="91" t="str">
        <f>'Plan economique (PAS)'!D20</f>
        <v>forfait</v>
      </c>
      <c r="D32" s="34">
        <f>'Plan economique (PAS)'!E20</f>
        <v>2450</v>
      </c>
      <c r="E32" s="34">
        <f t="shared" ref="E32" si="3">B32*D32</f>
        <v>2450</v>
      </c>
      <c r="F32" s="103" t="s">
        <v>128</v>
      </c>
    </row>
    <row r="33" spans="1:9" x14ac:dyDescent="0.25">
      <c r="B33" s="91"/>
      <c r="C33" s="91"/>
      <c r="D33" s="34"/>
      <c r="E33" s="34"/>
      <c r="F33" s="103"/>
    </row>
    <row r="34" spans="1:9" x14ac:dyDescent="0.25">
      <c r="A34" s="24" t="s">
        <v>145</v>
      </c>
      <c r="B34" s="21"/>
      <c r="C34" s="21"/>
      <c r="D34" s="26"/>
      <c r="E34" s="112">
        <f>SUM(E35:E38)</f>
        <v>7700</v>
      </c>
      <c r="F34" s="114" t="s">
        <v>128</v>
      </c>
    </row>
    <row r="35" spans="1:9" x14ac:dyDescent="0.25">
      <c r="A35" s="102" t="str">
        <f>'Plan economique (PAS)'!B22</f>
        <v>Riz (transport compris)</v>
      </c>
      <c r="B35" s="91">
        <v>2</v>
      </c>
      <c r="C35" s="91" t="str">
        <f>'Plan economique (PAS)'!D22</f>
        <v>sac 50 kg</v>
      </c>
      <c r="D35" s="34">
        <f>'Plan economique (PAS)'!E22</f>
        <v>1400</v>
      </c>
      <c r="E35" s="34">
        <f t="shared" ref="E35" si="4">B35*D35</f>
        <v>2800</v>
      </c>
      <c r="F35" s="103" t="s">
        <v>128</v>
      </c>
    </row>
    <row r="36" spans="1:9" x14ac:dyDescent="0.25">
      <c r="A36" s="102" t="str">
        <f>'Plan economique (PAS)'!B23</f>
        <v>Huile (transport compris)</v>
      </c>
      <c r="B36" s="91">
        <v>3</v>
      </c>
      <c r="C36" s="91" t="str">
        <f>'Plan economique (PAS)'!D23</f>
        <v>bidon de 20 l.</v>
      </c>
      <c r="D36" s="34">
        <f>'Plan economique (PAS)'!E23</f>
        <v>1000</v>
      </c>
      <c r="E36" s="34">
        <f t="shared" ref="E36:E37" si="5">B36*D36</f>
        <v>3000</v>
      </c>
      <c r="F36" s="103" t="s">
        <v>147</v>
      </c>
    </row>
    <row r="37" spans="1:9" x14ac:dyDescent="0.25">
      <c r="A37" s="102" t="str">
        <f>'Plan economique (PAS)'!B24</f>
        <v>Crédit téléphone</v>
      </c>
      <c r="B37" s="91">
        <v>200</v>
      </c>
      <c r="C37" s="91" t="str">
        <f>'Plan economique (PAS)'!D24</f>
        <v>carte 10 MRU</v>
      </c>
      <c r="D37" s="34">
        <f>'Plan economique (PAS)'!E24</f>
        <v>9.5</v>
      </c>
      <c r="E37" s="34">
        <f t="shared" si="5"/>
        <v>1900</v>
      </c>
      <c r="F37" s="103" t="s">
        <v>147</v>
      </c>
    </row>
    <row r="38" spans="1:9" x14ac:dyDescent="0.25">
      <c r="B38" s="91"/>
      <c r="C38" s="91"/>
      <c r="D38" s="34"/>
      <c r="E38" s="34"/>
      <c r="F38" s="103"/>
    </row>
    <row r="39" spans="1:9" x14ac:dyDescent="0.25">
      <c r="A39" s="24" t="s">
        <v>129</v>
      </c>
      <c r="B39" s="21"/>
      <c r="C39" s="21"/>
      <c r="D39" s="26"/>
      <c r="E39" s="112">
        <f>E40</f>
        <v>380</v>
      </c>
      <c r="F39" s="114"/>
    </row>
    <row r="40" spans="1:9" s="11" customFormat="1" x14ac:dyDescent="0.25">
      <c r="A40" s="102" t="s">
        <v>130</v>
      </c>
      <c r="B40" s="91">
        <v>1</v>
      </c>
      <c r="C40" s="91" t="s">
        <v>74</v>
      </c>
      <c r="D40" s="34">
        <v>380</v>
      </c>
      <c r="E40" s="34">
        <f t="shared" ref="E40" si="6">B40*D40</f>
        <v>380</v>
      </c>
      <c r="F40" s="103"/>
    </row>
    <row r="41" spans="1:9" x14ac:dyDescent="0.25">
      <c r="B41" s="91"/>
      <c r="C41" s="91"/>
      <c r="D41" s="34"/>
      <c r="E41" s="34"/>
      <c r="F41" s="66"/>
    </row>
    <row r="42" spans="1:9" s="109" customFormat="1" ht="15.75" x14ac:dyDescent="0.25">
      <c r="A42" s="105" t="s">
        <v>131</v>
      </c>
      <c r="B42" s="106"/>
      <c r="C42" s="106"/>
      <c r="D42" s="106"/>
      <c r="E42" s="107">
        <f>E26+E23+E39+E31+E34</f>
        <v>17350</v>
      </c>
      <c r="F42" s="108"/>
    </row>
    <row r="43" spans="1:9" x14ac:dyDescent="0.25">
      <c r="A43" s="115"/>
      <c r="B43" s="3"/>
      <c r="C43" s="3"/>
      <c r="D43" s="3"/>
      <c r="G43" s="55"/>
      <c r="I43" s="87"/>
    </row>
    <row r="44" spans="1:9" ht="18.75" x14ac:dyDescent="0.25">
      <c r="A44" s="93" t="s">
        <v>63</v>
      </c>
      <c r="B44" s="93"/>
      <c r="C44" s="93"/>
      <c r="D44" s="93"/>
      <c r="E44" s="93"/>
      <c r="F44" s="93" t="s">
        <v>123</v>
      </c>
      <c r="G44" s="2"/>
      <c r="I44" s="87"/>
    </row>
    <row r="45" spans="1:9" x14ac:dyDescent="0.25">
      <c r="A45" s="116" t="str">
        <f>A19</f>
        <v>Total Investissement AGR couvert</v>
      </c>
      <c r="B45" s="116"/>
      <c r="C45" s="116"/>
      <c r="D45" s="116"/>
      <c r="E45" s="116">
        <f>E19</f>
        <v>67650</v>
      </c>
      <c r="F45" s="117" t="s">
        <v>125</v>
      </c>
      <c r="G45" s="55"/>
    </row>
    <row r="46" spans="1:9" x14ac:dyDescent="0.25">
      <c r="A46" s="116" t="str">
        <f>A23</f>
        <v>Coûts fixes</v>
      </c>
      <c r="B46" s="116"/>
      <c r="C46" s="116"/>
      <c r="D46" s="116"/>
      <c r="E46" s="118">
        <f>E23</f>
        <v>2000</v>
      </c>
      <c r="F46" s="117" t="s">
        <v>112</v>
      </c>
    </row>
    <row r="47" spans="1:9" s="102" customFormat="1" x14ac:dyDescent="0.25">
      <c r="A47" s="116" t="str">
        <f>A26</f>
        <v>Coûts variables. Vente de poisson et légumes et poulets, cycle 3 fois par mois</v>
      </c>
      <c r="B47" s="116"/>
      <c r="C47" s="116"/>
      <c r="D47" s="116"/>
      <c r="E47" s="118">
        <f>E26</f>
        <v>4820</v>
      </c>
      <c r="F47" s="117" t="s">
        <v>128</v>
      </c>
    </row>
    <row r="48" spans="1:9" s="102" customFormat="1" x14ac:dyDescent="0.25">
      <c r="A48" s="116" t="str">
        <f>A34</f>
        <v>Coûts variables. Vente d'autre type de produits complementaires, cycle 2 fois par mois</v>
      </c>
      <c r="B48" s="116"/>
      <c r="C48" s="116"/>
      <c r="D48" s="116"/>
      <c r="E48" s="118">
        <f>E34</f>
        <v>7700</v>
      </c>
      <c r="F48" s="117" t="s">
        <v>128</v>
      </c>
    </row>
    <row r="49" spans="1:6" s="102" customFormat="1" x14ac:dyDescent="0.25">
      <c r="A49" s="116" t="str">
        <f>A31</f>
        <v>Coûts variables. Elaboration de couscous, cycle 1 fois par mois</v>
      </c>
      <c r="B49" s="116"/>
      <c r="C49" s="116"/>
      <c r="D49" s="116"/>
      <c r="E49" s="118">
        <f>E31</f>
        <v>2450</v>
      </c>
      <c r="F49" s="117" t="s">
        <v>128</v>
      </c>
    </row>
    <row r="50" spans="1:6" s="102" customFormat="1" x14ac:dyDescent="0.25">
      <c r="A50" s="116" t="str">
        <f>A39</f>
        <v>Autres</v>
      </c>
      <c r="B50" s="116"/>
      <c r="C50" s="116"/>
      <c r="D50" s="116"/>
      <c r="E50" s="118">
        <f t="shared" ref="E50" si="7">E39</f>
        <v>380</v>
      </c>
      <c r="F50" s="117" t="s">
        <v>128</v>
      </c>
    </row>
    <row r="51" spans="1:6" s="102" customFormat="1" x14ac:dyDescent="0.25">
      <c r="A51" s="116"/>
      <c r="B51" s="116"/>
      <c r="C51" s="116"/>
      <c r="D51" s="116"/>
      <c r="E51" s="118"/>
      <c r="F51" s="119"/>
    </row>
    <row r="52" spans="1:6" s="109" customFormat="1" ht="15.75" x14ac:dyDescent="0.25">
      <c r="A52" s="105" t="s">
        <v>132</v>
      </c>
      <c r="B52" s="106"/>
      <c r="C52" s="106"/>
      <c r="D52" s="106"/>
      <c r="E52" s="107">
        <f>SUM(E45:E51)</f>
        <v>85000</v>
      </c>
      <c r="F52" s="108"/>
    </row>
    <row r="53" spans="1:6" x14ac:dyDescent="0.25">
      <c r="E53" s="46"/>
      <c r="F53" s="120"/>
    </row>
    <row r="55" spans="1:6" x14ac:dyDescent="0.25">
      <c r="A55" s="87"/>
      <c r="B55" s="87"/>
    </row>
    <row r="57" spans="1:6" x14ac:dyDescent="0.25">
      <c r="A57" s="87"/>
    </row>
    <row r="66" spans="1:1" x14ac:dyDescent="0.25">
      <c r="A66" s="104"/>
    </row>
    <row r="67" spans="1:1" x14ac:dyDescent="0.25">
      <c r="A67" s="104"/>
    </row>
    <row r="68" spans="1:1" x14ac:dyDescent="0.25">
      <c r="A68" s="104"/>
    </row>
    <row r="69" spans="1:1" x14ac:dyDescent="0.25">
      <c r="A69" s="104"/>
    </row>
    <row r="70" spans="1:1" x14ac:dyDescent="0.25">
      <c r="A70" s="104"/>
    </row>
    <row r="71" spans="1:1" x14ac:dyDescent="0.25">
      <c r="A71" s="104"/>
    </row>
  </sheetData>
  <mergeCells count="2">
    <mergeCell ref="B7:F7"/>
    <mergeCell ref="B8:F8"/>
  </mergeCells>
  <pageMargins left="0.70866141732283472" right="0.70866141732283472" top="0.74803149606299213" bottom="0.74803149606299213" header="0.31496062992125984" footer="0.31496062992125984"/>
  <pageSetup paperSize="9" scale="6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Info general</vt:lpstr>
      <vt:lpstr>Plan economique (PAS)</vt:lpstr>
      <vt:lpstr>Apport CRM</vt:lpstr>
      <vt:lpstr>'Apport CRM'!Área_de_impresión</vt:lpstr>
      <vt:lpstr>'Info general'!Área_de_impresión</vt:lpstr>
      <vt:lpstr>'Plan economique (PAS)'!Área_de_impresión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Pilar</dc:creator>
  <cp:lastModifiedBy>Gema Arranz</cp:lastModifiedBy>
  <cp:lastPrinted>2021-05-12T23:14:40Z</cp:lastPrinted>
  <dcterms:created xsi:type="dcterms:W3CDTF">2020-07-27T11:11:56Z</dcterms:created>
  <dcterms:modified xsi:type="dcterms:W3CDTF">2021-07-05T17:10:39Z</dcterms:modified>
</cp:coreProperties>
</file>